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22320" windowHeight="6552"/>
  </bookViews>
  <sheets>
    <sheet name="德兴--4月份考勤明细" sheetId="3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38" i="3" l="1"/>
  <c r="O38" i="3"/>
  <c r="H38" i="3"/>
  <c r="G38" i="3"/>
  <c r="I37" i="3"/>
  <c r="L37" i="3"/>
  <c r="F37" i="3"/>
  <c r="I36" i="3"/>
  <c r="L36" i="3"/>
  <c r="F36" i="3"/>
  <c r="I35" i="3"/>
  <c r="J35" i="3"/>
  <c r="I34" i="3"/>
  <c r="L34" i="3"/>
  <c r="F34" i="3"/>
  <c r="I33" i="3"/>
  <c r="L33" i="3"/>
  <c r="F33" i="3"/>
  <c r="J32" i="3"/>
  <c r="I32" i="3"/>
  <c r="L32" i="3"/>
  <c r="F32" i="3"/>
  <c r="N31" i="3"/>
  <c r="P31" i="3"/>
  <c r="L31" i="3"/>
  <c r="J31" i="3"/>
  <c r="I31" i="3"/>
  <c r="F31" i="3"/>
  <c r="J30" i="3"/>
  <c r="N30" i="3"/>
  <c r="P30" i="3"/>
  <c r="I30" i="3"/>
  <c r="L30" i="3"/>
  <c r="F30" i="3"/>
  <c r="J29" i="3"/>
  <c r="I29" i="3"/>
  <c r="L29" i="3"/>
  <c r="F29" i="3"/>
  <c r="J28" i="3"/>
  <c r="N28" i="3"/>
  <c r="P28" i="3"/>
  <c r="I28" i="3"/>
  <c r="L28" i="3"/>
  <c r="F28" i="3"/>
  <c r="N27" i="3"/>
  <c r="P27" i="3"/>
  <c r="L27" i="3"/>
  <c r="J27" i="3"/>
  <c r="I27" i="3"/>
  <c r="F27" i="3"/>
  <c r="J26" i="3"/>
  <c r="N26" i="3"/>
  <c r="P26" i="3"/>
  <c r="I26" i="3"/>
  <c r="L26" i="3"/>
  <c r="F26" i="3"/>
  <c r="I25" i="3"/>
  <c r="L25" i="3"/>
  <c r="F25" i="3"/>
  <c r="I24" i="3"/>
  <c r="J24" i="3"/>
  <c r="F24" i="3"/>
  <c r="L23" i="3"/>
  <c r="I23" i="3"/>
  <c r="J23" i="3"/>
  <c r="N23" i="3"/>
  <c r="P23" i="3"/>
  <c r="F23" i="3"/>
  <c r="I22" i="3"/>
  <c r="L22" i="3"/>
  <c r="F22" i="3"/>
  <c r="I21" i="3"/>
  <c r="L21" i="3"/>
  <c r="F21" i="3"/>
  <c r="I20" i="3"/>
  <c r="J20" i="3"/>
  <c r="F20" i="3"/>
  <c r="L19" i="3"/>
  <c r="I19" i="3"/>
  <c r="J19" i="3"/>
  <c r="N19" i="3"/>
  <c r="P19" i="3"/>
  <c r="F19" i="3"/>
  <c r="I18" i="3"/>
  <c r="L18" i="3"/>
  <c r="F18" i="3"/>
  <c r="J17" i="3"/>
  <c r="I17" i="3"/>
  <c r="L17" i="3"/>
  <c r="F17" i="3"/>
  <c r="N16" i="3"/>
  <c r="P16" i="3"/>
  <c r="L16" i="3"/>
  <c r="J16" i="3"/>
  <c r="I16" i="3"/>
  <c r="F16" i="3"/>
  <c r="J15" i="3"/>
  <c r="I15" i="3"/>
  <c r="L15" i="3"/>
  <c r="N15" i="3"/>
  <c r="P15" i="3"/>
  <c r="F15" i="3"/>
  <c r="J14" i="3"/>
  <c r="N14" i="3"/>
  <c r="P14" i="3"/>
  <c r="I14" i="3"/>
  <c r="L14" i="3"/>
  <c r="F14" i="3"/>
  <c r="J13" i="3"/>
  <c r="N13" i="3"/>
  <c r="P13" i="3"/>
  <c r="I13" i="3"/>
  <c r="L13" i="3"/>
  <c r="F13" i="3"/>
  <c r="N12" i="3"/>
  <c r="P12" i="3"/>
  <c r="L12" i="3"/>
  <c r="J12" i="3"/>
  <c r="I12" i="3"/>
  <c r="F12" i="3"/>
  <c r="J11" i="3"/>
  <c r="N11" i="3"/>
  <c r="P11" i="3"/>
  <c r="I11" i="3"/>
  <c r="L11" i="3"/>
  <c r="F11" i="3"/>
  <c r="J10" i="3"/>
  <c r="I10" i="3"/>
  <c r="L10" i="3"/>
  <c r="F10" i="3"/>
  <c r="J9" i="3"/>
  <c r="I9" i="3"/>
  <c r="L9" i="3"/>
  <c r="F9" i="3"/>
  <c r="N8" i="3"/>
  <c r="P8" i="3"/>
  <c r="L8" i="3"/>
  <c r="J8" i="3"/>
  <c r="I8" i="3"/>
  <c r="F8" i="3"/>
  <c r="J7" i="3"/>
  <c r="I7" i="3"/>
  <c r="L7" i="3"/>
  <c r="F7" i="3"/>
  <c r="I6" i="3"/>
  <c r="L6" i="3"/>
  <c r="F6" i="3"/>
  <c r="I5" i="3"/>
  <c r="J5" i="3"/>
  <c r="F5" i="3"/>
  <c r="L4" i="3"/>
  <c r="I4" i="3"/>
  <c r="I38" i="3"/>
  <c r="F4" i="3"/>
  <c r="N32" i="3"/>
  <c r="P32" i="3"/>
  <c r="N10" i="3"/>
  <c r="P10" i="3"/>
  <c r="N17" i="3"/>
  <c r="L38" i="3"/>
  <c r="N7" i="3"/>
  <c r="P7" i="3"/>
  <c r="N9" i="3"/>
  <c r="P9" i="3"/>
  <c r="N24" i="3"/>
  <c r="P24" i="3"/>
  <c r="N29" i="3"/>
  <c r="P29" i="3"/>
  <c r="N35" i="3"/>
  <c r="P35" i="3"/>
  <c r="L5" i="3"/>
  <c r="N5" i="3"/>
  <c r="P5" i="3"/>
  <c r="L20" i="3"/>
  <c r="N20" i="3"/>
  <c r="P20" i="3"/>
  <c r="L24" i="3"/>
  <c r="L35" i="3"/>
  <c r="J4" i="3"/>
  <c r="J34" i="3"/>
  <c r="N34" i="3"/>
  <c r="P34" i="3"/>
  <c r="J18" i="3"/>
  <c r="N18" i="3"/>
  <c r="P18" i="3"/>
  <c r="J22" i="3"/>
  <c r="N22" i="3"/>
  <c r="P22" i="3"/>
  <c r="J37" i="3"/>
  <c r="N37" i="3"/>
  <c r="P37" i="3"/>
  <c r="J33" i="3"/>
  <c r="N33" i="3"/>
  <c r="P33" i="3"/>
  <c r="J6" i="3"/>
  <c r="N6" i="3"/>
  <c r="J21" i="3"/>
  <c r="N21" i="3"/>
  <c r="P21" i="3"/>
  <c r="J25" i="3"/>
  <c r="N25" i="3"/>
  <c r="J36" i="3"/>
  <c r="N36" i="3"/>
  <c r="P36" i="3"/>
  <c r="N4" i="3"/>
  <c r="J38" i="3"/>
  <c r="N38" i="3"/>
  <c r="P4" i="3"/>
  <c r="P38" i="3"/>
</calcChain>
</file>

<file path=xl/comments1.xml><?xml version="1.0" encoding="utf-8"?>
<comments xmlns="http://schemas.openxmlformats.org/spreadsheetml/2006/main">
  <authors>
    <author>作者</author>
  </authors>
  <commentList>
    <comment ref="I3" authorId="0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满勤按30天计算
31天可以适当调休一天</t>
        </r>
      </text>
    </comment>
    <comment ref="J3" authorId="0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工资包括:
基本工资200元/天
管理工资40元/天
共计240元/天</t>
        </r>
      </text>
    </comment>
    <comment ref="K3" authorId="0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试用期3个月,</t>
        </r>
      </text>
    </comment>
    <comment ref="L3" authorId="0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工资包括:
基本工资200元/天
管理工资40元/天
共计240元/天</t>
        </r>
      </text>
    </comment>
    <comment ref="M3" authorId="0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春节补助由采购经理申请按实际金额分配</t>
        </r>
      </text>
    </comment>
  </commentList>
</comments>
</file>

<file path=xl/sharedStrings.xml><?xml version="1.0" encoding="utf-8"?>
<sst xmlns="http://schemas.openxmlformats.org/spreadsheetml/2006/main" count="167" uniqueCount="113">
  <si>
    <t>序号</t>
  </si>
  <si>
    <t>项目名称</t>
  </si>
  <si>
    <t>项目号</t>
  </si>
  <si>
    <t>身份证号</t>
  </si>
  <si>
    <t>姓名</t>
  </si>
  <si>
    <t>年龄</t>
  </si>
  <si>
    <t>加班(小时)</t>
  </si>
  <si>
    <t>应发工资</t>
  </si>
  <si>
    <t>考核扣款</t>
  </si>
  <si>
    <t>实发工资</t>
  </si>
  <si>
    <t>备注</t>
  </si>
  <si>
    <t>西环路</t>
  </si>
  <si>
    <t>YX-41S181201-02</t>
  </si>
  <si>
    <t>410724196606175538</t>
  </si>
  <si>
    <t>马保良</t>
  </si>
  <si>
    <t>132433197310143018</t>
  </si>
  <si>
    <t>梁长洲</t>
  </si>
  <si>
    <t>410724196907256016</t>
  </si>
  <si>
    <t>肖祖福</t>
  </si>
  <si>
    <t>13290319701002231x</t>
  </si>
  <si>
    <t>史永超</t>
  </si>
  <si>
    <t>4月20号离职</t>
  </si>
  <si>
    <t>大梁门</t>
  </si>
  <si>
    <t>YX-41S181201-04</t>
  </si>
  <si>
    <t>410724196305215516</t>
  </si>
  <si>
    <t>王张栓</t>
  </si>
  <si>
    <t>132903197207212117</t>
  </si>
  <si>
    <t>张天化</t>
  </si>
  <si>
    <t>4月20号调广州现场</t>
  </si>
  <si>
    <t>410724196307255538</t>
  </si>
  <si>
    <t>马保才</t>
  </si>
  <si>
    <t>西区</t>
  </si>
  <si>
    <t>YX-41S181201-01</t>
  </si>
  <si>
    <t>132903196404282312</t>
  </si>
  <si>
    <t>史树申</t>
  </si>
  <si>
    <t>132433195807155613</t>
  </si>
  <si>
    <t>高国栋</t>
  </si>
  <si>
    <t>年龄偏大考勤截止4月底,辞退</t>
    <phoneticPr fontId="4" type="noConversion"/>
  </si>
  <si>
    <t>132433196910085611</t>
  </si>
  <si>
    <t>苑建军</t>
  </si>
  <si>
    <t>黑庄户</t>
  </si>
  <si>
    <t>LH-01P170401</t>
  </si>
  <si>
    <t>140729196312190034</t>
  </si>
  <si>
    <t>段俊亮</t>
  </si>
  <si>
    <t>110225196809281013</t>
  </si>
  <si>
    <t>丁二泉</t>
  </si>
  <si>
    <t>132433196301305615</t>
  </si>
  <si>
    <t>白彦伯</t>
  </si>
  <si>
    <t>130632198107153015</t>
  </si>
  <si>
    <t>许小辉</t>
  </si>
  <si>
    <t>中粮站</t>
  </si>
  <si>
    <t>LH-01P161205</t>
  </si>
  <si>
    <t>132224197103172214</t>
  </si>
  <si>
    <t>李仁子</t>
  </si>
  <si>
    <t>132433196705013053</t>
  </si>
  <si>
    <t>梁小亮</t>
  </si>
  <si>
    <t>红路二支流</t>
  </si>
  <si>
    <t>YX-44P171005-02</t>
    <phoneticPr fontId="8" type="noConversion"/>
  </si>
  <si>
    <t>132433197110125659</t>
  </si>
  <si>
    <t>王云芳</t>
  </si>
  <si>
    <t>410724196703265519</t>
  </si>
  <si>
    <t>赵领福</t>
  </si>
  <si>
    <t>嘉禾二支涌</t>
  </si>
  <si>
    <t>230225198701261818</t>
  </si>
  <si>
    <t>朱晓宇</t>
  </si>
  <si>
    <t>132433197002125635</t>
  </si>
  <si>
    <t>白小宾</t>
  </si>
  <si>
    <t>441721197208032015</t>
  </si>
  <si>
    <t>132433197208235610</t>
  </si>
  <si>
    <t>白玉超</t>
  </si>
  <si>
    <t>沙涌站</t>
  </si>
  <si>
    <t>YX-44P181104-04</t>
  </si>
  <si>
    <t>410522196905031370</t>
  </si>
  <si>
    <t>路向东</t>
  </si>
  <si>
    <t>130628196702113516</t>
  </si>
  <si>
    <t>齐小二</t>
  </si>
  <si>
    <t>130632199302173032</t>
  </si>
  <si>
    <t>白淘淘</t>
  </si>
  <si>
    <t>夏茅站</t>
  </si>
  <si>
    <t>410526197111152090</t>
  </si>
  <si>
    <t>徐会胜</t>
  </si>
  <si>
    <t>140827195804170011</t>
  </si>
  <si>
    <t>石孟辉</t>
  </si>
  <si>
    <t>132433196902163034</t>
  </si>
  <si>
    <t>梁国民</t>
  </si>
  <si>
    <t>410522196601011354</t>
  </si>
  <si>
    <t>路海祥</t>
  </si>
  <si>
    <t>陈守印</t>
  </si>
  <si>
    <t>汇总</t>
  </si>
  <si>
    <t xml:space="preserve">2019年4份考勤表（德兴）  </t>
    <phoneticPr fontId="4" type="noConversion"/>
  </si>
  <si>
    <t>备注</t>
    <phoneticPr fontId="4" type="noConversion"/>
  </si>
  <si>
    <t>统计方式31/28天按30天统计计算(193.34元工资46.66元管理费)240元/天/人×30天(月)=7200元/月,试用期3个月工资80%,特殊情况加班除外</t>
    <phoneticPr fontId="4" type="noConversion"/>
  </si>
  <si>
    <t>实际出勤(天)</t>
    <phoneticPr fontId="4" type="noConversion"/>
  </si>
  <si>
    <t>结算(天)</t>
    <phoneticPr fontId="4" type="noConversion"/>
  </si>
  <si>
    <t>基本工资</t>
    <phoneticPr fontId="4" type="noConversion"/>
  </si>
  <si>
    <t>试用期80%</t>
    <phoneticPr fontId="4" type="noConversion"/>
  </si>
  <si>
    <t>管理费</t>
    <phoneticPr fontId="4" type="noConversion"/>
  </si>
  <si>
    <t>春节补助</t>
    <phoneticPr fontId="4" type="noConversion"/>
  </si>
  <si>
    <t>站点费用</t>
    <phoneticPr fontId="8" type="noConversion"/>
  </si>
  <si>
    <t>4月20号入职</t>
    <phoneticPr fontId="4" type="noConversion"/>
  </si>
  <si>
    <t>19日二支流卸药PAC4小时</t>
    <phoneticPr fontId="8" type="noConversion"/>
  </si>
  <si>
    <t>开封老职工调到广州</t>
    <phoneticPr fontId="4" type="noConversion"/>
  </si>
  <si>
    <t>YX-44P181104-01</t>
    <phoneticPr fontId="8" type="noConversion"/>
  </si>
  <si>
    <t>3日二支流装泥1个工（按12小时记），19日二支流卸药PAC4小时。</t>
    <phoneticPr fontId="8" type="noConversion"/>
  </si>
  <si>
    <t>卢锦状</t>
    <phoneticPr fontId="8" type="noConversion"/>
  </si>
  <si>
    <t>3日二支流装泥1个工（按12小时记），18日沙涌卸碳酸钠4小时，19日沙涌卸PAC4小时，22日-26日二期调试阶段有一名工人请假每天加班6小时，至晚12点，共30小时。</t>
    <phoneticPr fontId="8" type="noConversion"/>
  </si>
  <si>
    <t>3日二支流装泥1个工，18日沙涌卸碳酸钠4小时，19日沙涌卸PAC4小时。</t>
    <phoneticPr fontId="8" type="noConversion"/>
  </si>
  <si>
    <t>3日去二支流装泥1个工（按12小时记），19日去沙涌卸药PAC4小时。</t>
    <phoneticPr fontId="8" type="noConversion"/>
  </si>
  <si>
    <t>广州急需熟练工人,工长找的原来朝阳工人,忽略年龄了</t>
    <phoneticPr fontId="4" type="noConversion"/>
  </si>
  <si>
    <t>3日去二支流装泥1个工（按12小时记），19日去二支流卸药PAC4小时。</t>
    <phoneticPr fontId="4" type="noConversion"/>
  </si>
  <si>
    <t>辞退</t>
    <phoneticPr fontId="4" type="noConversion"/>
  </si>
  <si>
    <r>
      <t>2019/4/9</t>
    </r>
    <r>
      <rPr>
        <sz val="11"/>
        <rFont val="宋体"/>
        <family val="3"/>
        <charset val="134"/>
      </rPr>
      <t>入职</t>
    </r>
    <phoneticPr fontId="4" type="noConversion"/>
  </si>
  <si>
    <t>姓名黄色填充是开封调到广州,红色是辞退或离职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</si>
</sst>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7" formatCode="&quot;¥&quot;#,##0.00;&quot;¥&quot;\-#,##0.00"/>
    <numFmt numFmtId="180" formatCode="0.00_);[Red]\(0.00\)"/>
    <numFmt numFmtId="181" formatCode="&quot;¥&quot;#,##0.00_);[Red]\(&quot;¥&quot;#,##0.00\)"/>
    <numFmt numFmtId="182" formatCode="#,##0.00_);[Red]\(#,##0.00\)"/>
  </numFmts>
  <fonts count="19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sz val="24"/>
      <name val="等线"/>
      <family val="3"/>
      <charset val="134"/>
      <scheme val="minor"/>
    </font>
    <font>
      <sz val="9"/>
      <name val="Tahoma"/>
      <family val="2"/>
    </font>
    <font>
      <sz val="11"/>
      <name val="等线"/>
      <family val="3"/>
      <charset val="134"/>
      <scheme val="minor"/>
    </font>
    <font>
      <b/>
      <sz val="12"/>
      <name val="等线"/>
      <family val="3"/>
      <charset val="134"/>
      <scheme val="minor"/>
    </font>
    <font>
      <sz val="11"/>
      <color theme="0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1"/>
      <color indexed="8"/>
      <name val="宋体"/>
      <family val="3"/>
      <charset val="134"/>
    </font>
    <font>
      <sz val="12"/>
      <color indexed="8"/>
      <name val="宋体"/>
      <family val="3"/>
      <charset val="134"/>
    </font>
    <font>
      <sz val="11"/>
      <color theme="1"/>
      <name val="等线"/>
      <family val="3"/>
      <charset val="134"/>
    </font>
    <font>
      <sz val="11"/>
      <name val="宋体"/>
      <family val="3"/>
      <charset val="134"/>
    </font>
    <font>
      <sz val="11"/>
      <color rgb="FFFF0000"/>
      <name val="等线"/>
      <family val="2"/>
      <scheme val="minor"/>
    </font>
    <font>
      <b/>
      <sz val="9"/>
      <color indexed="81"/>
      <name val="宋体"/>
      <family val="3"/>
      <charset val="134"/>
    </font>
    <font>
      <sz val="9"/>
      <color indexed="81"/>
      <name val="宋体"/>
      <family val="3"/>
      <charset val="134"/>
    </font>
    <font>
      <sz val="11"/>
      <color theme="1"/>
      <name val="等线"/>
      <family val="2"/>
      <charset val="134"/>
      <scheme val="minor"/>
    </font>
    <font>
      <sz val="11"/>
      <color rgb="FF333333"/>
      <name val="Arial"/>
      <family val="2"/>
    </font>
    <font>
      <sz val="11"/>
      <name val="等线"/>
      <family val="3"/>
      <charset val="134"/>
    </font>
  </fonts>
  <fills count="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0" fontId="2" fillId="0" borderId="0">
      <alignment vertical="center"/>
    </xf>
    <xf numFmtId="0" fontId="10" fillId="0" borderId="0"/>
    <xf numFmtId="0" fontId="2" fillId="0" borderId="0">
      <alignment vertical="center"/>
    </xf>
    <xf numFmtId="0" fontId="2" fillId="0" borderId="0"/>
  </cellStyleXfs>
  <cellXfs count="79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1" xfId="1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180" fontId="7" fillId="0" borderId="7" xfId="1" applyNumberFormat="1" applyFont="1" applyFill="1" applyBorder="1" applyAlignment="1">
      <alignment horizontal="center" vertical="center" wrapText="1"/>
    </xf>
    <xf numFmtId="181" fontId="7" fillId="0" borderId="7" xfId="1" applyNumberFormat="1" applyFont="1" applyFill="1" applyBorder="1" applyAlignment="1">
      <alignment horizontal="center" vertical="center" wrapText="1"/>
    </xf>
    <xf numFmtId="9" fontId="7" fillId="0" borderId="7" xfId="1" applyNumberFormat="1" applyFont="1" applyFill="1" applyBorder="1" applyAlignment="1">
      <alignment horizontal="center" vertical="center" wrapText="1"/>
    </xf>
    <xf numFmtId="7" fontId="7" fillId="0" borderId="7" xfId="1" applyNumberFormat="1" applyFont="1" applyFill="1" applyBorder="1" applyAlignment="1">
      <alignment horizontal="center" vertical="center" wrapText="1"/>
    </xf>
    <xf numFmtId="181" fontId="7" fillId="0" borderId="6" xfId="0" applyNumberFormat="1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9" fillId="0" borderId="4" xfId="0" quotePrefix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9" fillId="0" borderId="1" xfId="2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5" fillId="0" borderId="2" xfId="1" applyFont="1" applyFill="1" applyBorder="1" applyAlignment="1">
      <alignment horizontal="center" vertical="center" wrapText="1"/>
    </xf>
    <xf numFmtId="0" fontId="11" fillId="0" borderId="2" xfId="1" applyFont="1" applyFill="1" applyBorder="1" applyAlignment="1">
      <alignment horizontal="center" vertical="center" wrapText="1"/>
    </xf>
    <xf numFmtId="49" fontId="2" fillId="0" borderId="1" xfId="4" applyNumberFormat="1" applyFont="1" applyFill="1" applyBorder="1" applyAlignment="1">
      <alignment horizontal="center" vertical="center" wrapText="1"/>
    </xf>
    <xf numFmtId="0" fontId="2" fillId="0" borderId="1" xfId="4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2" fillId="0" borderId="2" xfId="1" applyNumberFormat="1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 vertical="center"/>
    </xf>
    <xf numFmtId="180" fontId="0" fillId="0" borderId="0" xfId="0" applyNumberFormat="1" applyAlignment="1">
      <alignment horizontal="center" vertical="center"/>
    </xf>
    <xf numFmtId="181" fontId="0" fillId="0" borderId="0" xfId="0" applyNumberFormat="1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7" fontId="0" fillId="0" borderId="0" xfId="0" applyNumberFormat="1" applyAlignment="1">
      <alignment horizontal="center" vertical="center"/>
    </xf>
    <xf numFmtId="0" fontId="5" fillId="0" borderId="4" xfId="1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/>
    </xf>
    <xf numFmtId="180" fontId="16" fillId="0" borderId="1" xfId="0" applyNumberFormat="1" applyFont="1" applyBorder="1" applyAlignment="1">
      <alignment horizontal="center" vertical="center"/>
    </xf>
    <xf numFmtId="181" fontId="16" fillId="0" borderId="1" xfId="0" applyNumberFormat="1" applyFont="1" applyBorder="1" applyAlignment="1">
      <alignment horizontal="center" vertical="center"/>
    </xf>
    <xf numFmtId="9" fontId="16" fillId="0" borderId="1" xfId="0" applyNumberFormat="1" applyFont="1" applyBorder="1" applyAlignment="1">
      <alignment horizontal="center" vertical="center"/>
    </xf>
    <xf numFmtId="7" fontId="16" fillId="0" borderId="1" xfId="0" applyNumberFormat="1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182" fontId="16" fillId="0" borderId="1" xfId="0" applyNumberFormat="1" applyFont="1" applyBorder="1" applyAlignment="1">
      <alignment horizontal="center" vertical="center"/>
    </xf>
    <xf numFmtId="0" fontId="2" fillId="0" borderId="2" xfId="1" applyFont="1" applyFill="1" applyBorder="1" applyAlignment="1">
      <alignment horizontal="center" vertical="center" wrapText="1"/>
    </xf>
    <xf numFmtId="49" fontId="16" fillId="0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49" fontId="16" fillId="0" borderId="1" xfId="0" applyNumberFormat="1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0" fontId="16" fillId="0" borderId="1" xfId="0" quotePrefix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5" fillId="0" borderId="1" xfId="3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center" vertical="center" wrapText="1"/>
    </xf>
    <xf numFmtId="0" fontId="5" fillId="4" borderId="1" xfId="1" applyFont="1" applyFill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5" borderId="1" xfId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/>
    </xf>
    <xf numFmtId="0" fontId="2" fillId="0" borderId="2" xfId="1" applyFont="1" applyBorder="1" applyAlignment="1">
      <alignment horizontal="center" vertical="center" wrapText="1"/>
    </xf>
    <xf numFmtId="0" fontId="16" fillId="0" borderId="2" xfId="1" applyFont="1" applyBorder="1" applyAlignment="1">
      <alignment horizontal="center" vertical="center" wrapText="1"/>
    </xf>
    <xf numFmtId="0" fontId="18" fillId="0" borderId="1" xfId="1" applyFont="1" applyBorder="1" applyAlignment="1">
      <alignment horizontal="center" vertical="center" wrapText="1"/>
    </xf>
    <xf numFmtId="0" fontId="5" fillId="0" borderId="7" xfId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2" fillId="0" borderId="1" xfId="4" applyFont="1" applyFill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49" fontId="2" fillId="0" borderId="1" xfId="4" applyNumberFormat="1" applyFont="1" applyFill="1" applyBorder="1" applyAlignment="1">
      <alignment horizontal="center" vertical="center"/>
    </xf>
    <xf numFmtId="0" fontId="12" fillId="3" borderId="1" xfId="4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180" fontId="16" fillId="0" borderId="1" xfId="0" applyNumberFormat="1" applyFont="1" applyFill="1" applyBorder="1" applyAlignment="1">
      <alignment horizontal="center" vertical="center"/>
    </xf>
    <xf numFmtId="181" fontId="16" fillId="0" borderId="1" xfId="0" applyNumberFormat="1" applyFont="1" applyFill="1" applyBorder="1" applyAlignment="1">
      <alignment horizontal="center" vertical="center"/>
    </xf>
    <xf numFmtId="9" fontId="16" fillId="0" borderId="1" xfId="0" applyNumberFormat="1" applyFont="1" applyFill="1" applyBorder="1" applyAlignment="1">
      <alignment horizontal="center" vertical="center"/>
    </xf>
    <xf numFmtId="7" fontId="16" fillId="0" borderId="1" xfId="0" applyNumberFormat="1" applyFont="1" applyFill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180" fontId="16" fillId="0" borderId="7" xfId="0" applyNumberFormat="1" applyFont="1" applyBorder="1" applyAlignment="1">
      <alignment horizontal="center" vertical="center"/>
    </xf>
    <xf numFmtId="181" fontId="16" fillId="0" borderId="7" xfId="0" applyNumberFormat="1" applyFont="1" applyBorder="1" applyAlignment="1">
      <alignment horizontal="center" vertical="center"/>
    </xf>
    <xf numFmtId="9" fontId="16" fillId="0" borderId="7" xfId="0" applyNumberFormat="1" applyFont="1" applyBorder="1" applyAlignment="1">
      <alignment horizontal="center" vertical="center"/>
    </xf>
    <xf numFmtId="7" fontId="16" fillId="0" borderId="7" xfId="0" applyNumberFormat="1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0" fontId="3" fillId="0" borderId="2" xfId="1" applyFont="1" applyFill="1" applyBorder="1" applyAlignment="1">
      <alignment horizontal="center" vertical="center"/>
    </xf>
    <xf numFmtId="0" fontId="3" fillId="0" borderId="3" xfId="1" applyFont="1" applyFill="1" applyBorder="1" applyAlignment="1">
      <alignment horizontal="center" vertical="center"/>
    </xf>
    <xf numFmtId="0" fontId="3" fillId="0" borderId="4" xfId="1" applyFont="1" applyFill="1" applyBorder="1" applyAlignment="1">
      <alignment horizontal="center" vertical="center"/>
    </xf>
    <xf numFmtId="0" fontId="6" fillId="0" borderId="2" xfId="1" applyFont="1" applyFill="1" applyBorder="1" applyAlignment="1">
      <alignment horizontal="center" vertical="center" wrapText="1"/>
    </xf>
    <xf numFmtId="0" fontId="6" fillId="0" borderId="3" xfId="1" applyFont="1" applyFill="1" applyBorder="1" applyAlignment="1">
      <alignment horizontal="center" vertical="center" wrapText="1"/>
    </xf>
  </cellXfs>
  <cellStyles count="5">
    <cellStyle name="常规" xfId="0" builtinId="0"/>
    <cellStyle name="常规 2" xfId="3"/>
    <cellStyle name="常规 3" xfId="1"/>
    <cellStyle name="常规 4" xfId="4"/>
    <cellStyle name="常规_汇总_1" xfId="2"/>
  </cellStyles>
  <dxfs count="44">
    <dxf>
      <font>
        <strike val="0"/>
        <outline val="0"/>
        <shadow val="0"/>
        <u val="none"/>
        <vertAlign val="baseline"/>
        <sz val="11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</font>
      <numFmt numFmtId="181" formatCode="&quot;¥&quot;#,##0.00_);[Red]\(&quot;¥&quot;#,##0.00\)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</font>
      <numFmt numFmtId="181" formatCode="&quot;¥&quot;#,##0.00_);[Red]\(&quot;¥&quot;#,##0.00\)"/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</font>
      <numFmt numFmtId="181" formatCode="&quot;¥&quot;#,##0.00_);[Red]\(&quot;¥&quot;#,##0.00\)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</font>
      <numFmt numFmtId="181" formatCode="&quot;¥&quot;#,##0.00_);[Red]\(&quot;¥&quot;#,##0.00\)"/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</font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</font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</font>
      <numFmt numFmtId="11" formatCode="&quot;¥&quot;#,##0.00;&quot;¥&quot;\-#,##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</font>
      <numFmt numFmtId="11" formatCode="&quot;¥&quot;#,##0.00;&quot;¥&quot;\-#,##0.00"/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</font>
      <numFmt numFmtId="13" formatCode="0%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</font>
      <numFmt numFmtId="13" formatCode="0%"/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</font>
      <numFmt numFmtId="181" formatCode="&quot;¥&quot;#,##0.00_);[Red]\(&quot;¥&quot;#,##0.00\)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</font>
      <numFmt numFmtId="181" formatCode="&quot;¥&quot;#,##0.00_);[Red]\(&quot;¥&quot;#,##0.00\)"/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</font>
      <numFmt numFmtId="180" formatCode="0.00_);[Red]\(0.00\)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</font>
      <numFmt numFmtId="180" formatCode="0.00_);[Red]\(0.00\)"/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color auto="1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color auto="1"/>
      </font>
      <fill>
        <patternFill patternType="solid">
          <fgColor indexed="64"/>
          <bgColor indexed="9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color rgb="FF333333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</font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</font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color auto="1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color auto="1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color auto="1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alignment horizontal="center" vertical="center" textRotation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indent="0" justifyLastLine="0" shrinkToFit="0" readingOrder="0"/>
    </dxf>
    <dxf>
      <border outline="0"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1"/>
        <color theme="0"/>
        <name val="等线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" name="表9" displayName="表9" ref="A3:Q38" totalsRowCount="1" headerRowDxfId="39" dataDxfId="37" totalsRowDxfId="35" headerRowBorderDxfId="38" tableBorderDxfId="36" totalsRowBorderDxfId="34">
  <autoFilter ref="A3:Q37"/>
  <tableColumns count="17">
    <tableColumn id="1" name="序号" totalsRowLabel="汇总" dataDxfId="33" totalsRowDxfId="32" dataCellStyle="常规 3"/>
    <tableColumn id="2" name="项目名称" dataDxfId="31" totalsRowDxfId="30" dataCellStyle="常规 3"/>
    <tableColumn id="3" name="项目号" dataDxfId="29" totalsRowDxfId="28" dataCellStyle="常规 3"/>
    <tableColumn id="4" name="身份证号" dataDxfId="27" totalsRowDxfId="26"/>
    <tableColumn id="5" name="姓名" dataDxfId="25" totalsRowDxfId="24"/>
    <tableColumn id="6" name="年龄" dataDxfId="23" totalsRowDxfId="22">
      <calculatedColumnFormula>DATEDIF(DATE(MID(D4,7,4),MID(D4,11,2),MID(D4,13,2)),TODAY(),"y")</calculatedColumnFormula>
    </tableColumn>
    <tableColumn id="7" name="实际出勤(天)" totalsRowFunction="sum" dataDxfId="21" totalsRowDxfId="20" dataCellStyle="常规 3"/>
    <tableColumn id="8" name="加班(小时)" totalsRowFunction="sum" dataDxfId="19" totalsRowDxfId="18" dataCellStyle="常规 3"/>
    <tableColumn id="9" name="结算(天)" totalsRowFunction="sum" dataDxfId="17" totalsRowDxfId="16">
      <calculatedColumnFormula>表9[[#This Row],[实际出勤(天)]]+表9[[#This Row],[加班(小时)]]/12</calculatedColumnFormula>
    </tableColumn>
    <tableColumn id="10" name="基本工资" totalsRowFunction="sum" dataDxfId="15" totalsRowDxfId="14">
      <calculatedColumnFormula>表9[[#This Row],[结算(天)]]*193.34*表9[[#This Row],[试用期80%]]</calculatedColumnFormula>
    </tableColumn>
    <tableColumn id="11" name="试用期80%" dataDxfId="13" totalsRowDxfId="12"/>
    <tableColumn id="12" name="管理费" totalsRowFunction="sum" dataDxfId="11" totalsRowDxfId="10">
      <calculatedColumnFormula>表9[[#This Row],[结算(天)]]*46.66</calculatedColumnFormula>
    </tableColumn>
    <tableColumn id="13" name="春节补助" dataDxfId="9" totalsRowDxfId="8"/>
    <tableColumn id="14" name="应发工资" totalsRowFunction="sum" dataDxfId="7" totalsRowDxfId="6">
      <calculatedColumnFormula>表9[[#This Row],[基本工资]]+表9[[#This Row],[管理费]]+表9[[#This Row],[春节补助]]</calculatedColumnFormula>
    </tableColumn>
    <tableColumn id="15" name="考核扣款" totalsRowFunction="sum" dataDxfId="5" totalsRowDxfId="4"/>
    <tableColumn id="16" name="实发工资" totalsRowFunction="sum" dataDxfId="3" totalsRowDxfId="2">
      <calculatedColumnFormula>表9[[#This Row],[应发工资]]-表9[[#This Row],[考核扣款]]</calculatedColumnFormula>
    </tableColumn>
    <tableColumn id="17" name="备注" totalsRowFunction="count" dataDxfId="1" totalsRowDxfId="0" dataCellStyle="常规 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39"/>
  <sheetViews>
    <sheetView tabSelected="1" workbookViewId="0">
      <selection activeCell="G10" sqref="G10"/>
    </sheetView>
  </sheetViews>
  <sheetFormatPr defaultRowHeight="13.8"/>
  <cols>
    <col min="1" max="1" width="5.33203125" bestFit="1" customWidth="1"/>
    <col min="2" max="2" width="12" bestFit="1" customWidth="1"/>
    <col min="3" max="3" width="17.77734375" customWidth="1"/>
    <col min="4" max="4" width="20.44140625" bestFit="1" customWidth="1"/>
    <col min="5" max="5" width="7.44140625" bestFit="1" customWidth="1"/>
    <col min="6" max="6" width="0" hidden="1" customWidth="1"/>
    <col min="7" max="7" width="6.33203125" customWidth="1"/>
    <col min="8" max="8" width="5.6640625" customWidth="1"/>
    <col min="9" max="9" width="10.77734375" bestFit="1" customWidth="1"/>
    <col min="10" max="10" width="0" hidden="1" customWidth="1"/>
    <col min="11" max="11" width="5.6640625" customWidth="1"/>
    <col min="12" max="12" width="0" hidden="1" customWidth="1"/>
    <col min="13" max="13" width="5.6640625" customWidth="1"/>
    <col min="14" max="14" width="10.21875" bestFit="1" customWidth="1"/>
    <col min="15" max="15" width="9.109375" bestFit="1" customWidth="1"/>
    <col min="16" max="16" width="13.44140625" bestFit="1" customWidth="1"/>
    <col min="17" max="17" width="34.21875" customWidth="1"/>
    <col min="18" max="18" width="13.44140625" customWidth="1"/>
  </cols>
  <sheetData>
    <row r="1" spans="1:18" ht="30">
      <c r="A1" s="74" t="s">
        <v>89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6"/>
      <c r="R1" s="2"/>
    </row>
    <row r="2" spans="1:18" ht="15.6">
      <c r="A2" s="3" t="s">
        <v>90</v>
      </c>
      <c r="B2" s="77" t="s">
        <v>91</v>
      </c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1"/>
    </row>
    <row r="3" spans="1:18" ht="41.4">
      <c r="A3" s="4" t="s">
        <v>0</v>
      </c>
      <c r="B3" s="5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5" t="s">
        <v>92</v>
      </c>
      <c r="H3" s="5" t="s">
        <v>6</v>
      </c>
      <c r="I3" s="6" t="s">
        <v>93</v>
      </c>
      <c r="J3" s="7" t="s">
        <v>94</v>
      </c>
      <c r="K3" s="8" t="s">
        <v>95</v>
      </c>
      <c r="L3" s="9" t="s">
        <v>96</v>
      </c>
      <c r="M3" s="7" t="s">
        <v>97</v>
      </c>
      <c r="N3" s="5" t="s">
        <v>7</v>
      </c>
      <c r="O3" s="10" t="s">
        <v>8</v>
      </c>
      <c r="P3" s="10" t="s">
        <v>9</v>
      </c>
      <c r="Q3" s="11" t="s">
        <v>10</v>
      </c>
      <c r="R3" s="1" t="s">
        <v>98</v>
      </c>
    </row>
    <row r="4" spans="1:18" ht="19.95" customHeight="1">
      <c r="A4" s="29">
        <v>1</v>
      </c>
      <c r="B4" s="3" t="s">
        <v>11</v>
      </c>
      <c r="C4" s="29" t="s">
        <v>12</v>
      </c>
      <c r="D4" s="12" t="s">
        <v>13</v>
      </c>
      <c r="E4" s="13" t="s">
        <v>14</v>
      </c>
      <c r="F4" s="30">
        <f ca="1">DATEDIF(DATE(MID(D4,7,4),MID(D4,11,2),MID(D4,13,2)),TODAY(),"y")</f>
        <v>52</v>
      </c>
      <c r="G4" s="3">
        <v>30</v>
      </c>
      <c r="H4" s="3"/>
      <c r="I4" s="31">
        <f>表9[[#This Row],[实际出勤(天)]]+表9[[#This Row],[加班(小时)]]/12</f>
        <v>30</v>
      </c>
      <c r="J4" s="32">
        <f>表9[[#This Row],[结算(天)]]*193.34*表9[[#This Row],[试用期80%]]</f>
        <v>5800.2</v>
      </c>
      <c r="K4" s="33">
        <v>1</v>
      </c>
      <c r="L4" s="34">
        <f>表9[[#This Row],[结算(天)]]*46.66</f>
        <v>1399.8</v>
      </c>
      <c r="M4" s="35"/>
      <c r="N4" s="36">
        <f>表9[[#This Row],[基本工资]]+表9[[#This Row],[管理费]]+表9[[#This Row],[春节补助]]</f>
        <v>7200</v>
      </c>
      <c r="O4" s="32"/>
      <c r="P4" s="32">
        <f>表9[[#This Row],[应发工资]]-表9[[#This Row],[考核扣款]]</f>
        <v>7200</v>
      </c>
      <c r="Q4" s="37"/>
      <c r="R4" s="73">
        <v>20215</v>
      </c>
    </row>
    <row r="5" spans="1:18" ht="19.95" customHeight="1">
      <c r="A5" s="29">
        <v>2</v>
      </c>
      <c r="B5" s="3" t="s">
        <v>11</v>
      </c>
      <c r="C5" s="29" t="s">
        <v>12</v>
      </c>
      <c r="D5" s="12" t="s">
        <v>15</v>
      </c>
      <c r="E5" s="13" t="s">
        <v>16</v>
      </c>
      <c r="F5" s="30">
        <f t="shared" ref="F5:F34" ca="1" si="0">DATEDIF(DATE(MID(D5,7,4),MID(D5,11,2),MID(D5,13,2)),TODAY(),"y")</f>
        <v>45</v>
      </c>
      <c r="G5" s="3">
        <v>29</v>
      </c>
      <c r="H5" s="3"/>
      <c r="I5" s="31">
        <f>表9[[#This Row],[实际出勤(天)]]+表9[[#This Row],[加班(小时)]]/12</f>
        <v>29</v>
      </c>
      <c r="J5" s="32">
        <f>表9[[#This Row],[结算(天)]]*193.34*表9[[#This Row],[试用期80%]]</f>
        <v>5606.86</v>
      </c>
      <c r="K5" s="33">
        <v>1</v>
      </c>
      <c r="L5" s="34">
        <f>表9[[#This Row],[结算(天)]]*46.66</f>
        <v>1353.1399999999999</v>
      </c>
      <c r="M5" s="35"/>
      <c r="N5" s="36">
        <f>表9[[#This Row],[基本工资]]+表9[[#This Row],[管理费]]+表9[[#This Row],[春节补助]]</f>
        <v>6960</v>
      </c>
      <c r="O5" s="32"/>
      <c r="P5" s="32">
        <f>表9[[#This Row],[应发工资]]-表9[[#This Row],[考核扣款]]</f>
        <v>6960</v>
      </c>
      <c r="Q5" s="37"/>
      <c r="R5" s="73"/>
    </row>
    <row r="6" spans="1:18" ht="19.95" customHeight="1">
      <c r="A6" s="29">
        <v>3</v>
      </c>
      <c r="B6" s="3" t="s">
        <v>11</v>
      </c>
      <c r="C6" s="29" t="s">
        <v>12</v>
      </c>
      <c r="D6" s="12" t="s">
        <v>17</v>
      </c>
      <c r="E6" s="13" t="s">
        <v>18</v>
      </c>
      <c r="F6" s="30">
        <f t="shared" ca="1" si="0"/>
        <v>49</v>
      </c>
      <c r="G6" s="3">
        <v>11</v>
      </c>
      <c r="H6" s="3"/>
      <c r="I6" s="31">
        <f>表9[[#This Row],[实际出勤(天)]]+表9[[#This Row],[加班(小时)]]/12</f>
        <v>11</v>
      </c>
      <c r="J6" s="32">
        <f>表9[[#This Row],[结算(天)]]*193.34*表9[[#This Row],[试用期80%]]</f>
        <v>1701.3920000000003</v>
      </c>
      <c r="K6" s="33">
        <v>0.8</v>
      </c>
      <c r="L6" s="34">
        <f>表9[[#This Row],[结算(天)]]*46.66</f>
        <v>513.26</v>
      </c>
      <c r="M6" s="35"/>
      <c r="N6" s="36">
        <f>表9[[#This Row],[基本工资]]+表9[[#This Row],[管理费]]+表9[[#This Row],[春节补助]]</f>
        <v>2214.652</v>
      </c>
      <c r="O6" s="32"/>
      <c r="P6" s="32">
        <v>2215</v>
      </c>
      <c r="Q6" s="37" t="s">
        <v>99</v>
      </c>
      <c r="R6" s="73"/>
    </row>
    <row r="7" spans="1:18" ht="19.95" customHeight="1">
      <c r="A7" s="29">
        <v>4</v>
      </c>
      <c r="B7" s="3" t="s">
        <v>11</v>
      </c>
      <c r="C7" s="3" t="s">
        <v>12</v>
      </c>
      <c r="D7" s="38" t="s">
        <v>19</v>
      </c>
      <c r="E7" s="39" t="s">
        <v>20</v>
      </c>
      <c r="F7" s="30">
        <f t="shared" ca="1" si="0"/>
        <v>48</v>
      </c>
      <c r="G7" s="3">
        <v>16</v>
      </c>
      <c r="H7" s="3"/>
      <c r="I7" s="31">
        <f>表9[[#This Row],[实际出勤(天)]]+表9[[#This Row],[加班(小时)]]/12</f>
        <v>16</v>
      </c>
      <c r="J7" s="32">
        <f>表9[[#This Row],[结算(天)]]*193.34*表9[[#This Row],[试用期80%]]</f>
        <v>3093.44</v>
      </c>
      <c r="K7" s="33">
        <v>1</v>
      </c>
      <c r="L7" s="34">
        <f>表9[[#This Row],[结算(天)]]*46.66</f>
        <v>746.56</v>
      </c>
      <c r="M7" s="35"/>
      <c r="N7" s="36">
        <f>表9[[#This Row],[基本工资]]+表9[[#This Row],[管理费]]+表9[[#This Row],[春节补助]]</f>
        <v>3840</v>
      </c>
      <c r="O7" s="32"/>
      <c r="P7" s="32">
        <f>表9[[#This Row],[应发工资]]-表9[[#This Row],[考核扣款]]</f>
        <v>3840</v>
      </c>
      <c r="Q7" s="37" t="s">
        <v>21</v>
      </c>
      <c r="R7" s="73"/>
    </row>
    <row r="8" spans="1:18" ht="19.95" customHeight="1">
      <c r="A8" s="29">
        <v>5</v>
      </c>
      <c r="B8" s="3" t="s">
        <v>22</v>
      </c>
      <c r="C8" s="3" t="s">
        <v>23</v>
      </c>
      <c r="D8" s="38" t="s">
        <v>24</v>
      </c>
      <c r="E8" s="40" t="s">
        <v>25</v>
      </c>
      <c r="F8" s="30">
        <f t="shared" ca="1" si="0"/>
        <v>56</v>
      </c>
      <c r="G8" s="3">
        <v>27</v>
      </c>
      <c r="H8" s="3"/>
      <c r="I8" s="31">
        <f>表9[[#This Row],[实际出勤(天)]]+表9[[#This Row],[加班(小时)]]/12</f>
        <v>27</v>
      </c>
      <c r="J8" s="32">
        <f>表9[[#This Row],[结算(天)]]*193.34*表9[[#This Row],[试用期80%]]</f>
        <v>5220.18</v>
      </c>
      <c r="K8" s="33">
        <v>1</v>
      </c>
      <c r="L8" s="34">
        <f>表9[[#This Row],[结算(天)]]*46.66</f>
        <v>1259.82</v>
      </c>
      <c r="M8" s="35"/>
      <c r="N8" s="36">
        <f>表9[[#This Row],[基本工资]]+表9[[#This Row],[管理费]]+表9[[#This Row],[春节补助]]</f>
        <v>6480</v>
      </c>
      <c r="O8" s="32"/>
      <c r="P8" s="32">
        <f>表9[[#This Row],[应发工资]]-表9[[#This Row],[考核扣款]]</f>
        <v>6480</v>
      </c>
      <c r="Q8" s="37"/>
      <c r="R8" s="73">
        <v>17040</v>
      </c>
    </row>
    <row r="9" spans="1:18" ht="19.95" customHeight="1">
      <c r="A9" s="29">
        <v>6</v>
      </c>
      <c r="B9" s="3" t="s">
        <v>22</v>
      </c>
      <c r="C9" s="3" t="s">
        <v>23</v>
      </c>
      <c r="D9" s="41" t="s">
        <v>26</v>
      </c>
      <c r="E9" s="22" t="s">
        <v>27</v>
      </c>
      <c r="F9" s="30">
        <f t="shared" ca="1" si="0"/>
        <v>46</v>
      </c>
      <c r="G9" s="3">
        <v>16</v>
      </c>
      <c r="H9" s="3"/>
      <c r="I9" s="31">
        <f>表9[[#This Row],[实际出勤(天)]]+表9[[#This Row],[加班(小时)]]/12</f>
        <v>16</v>
      </c>
      <c r="J9" s="32">
        <f>表9[[#This Row],[结算(天)]]*193.34*表9[[#This Row],[试用期80%]]</f>
        <v>3093.44</v>
      </c>
      <c r="K9" s="33">
        <v>1</v>
      </c>
      <c r="L9" s="34">
        <f>表9[[#This Row],[结算(天)]]*46.66</f>
        <v>746.56</v>
      </c>
      <c r="M9" s="35"/>
      <c r="N9" s="36">
        <f>表9[[#This Row],[基本工资]]+表9[[#This Row],[管理费]]+表9[[#This Row],[春节补助]]</f>
        <v>3840</v>
      </c>
      <c r="O9" s="32"/>
      <c r="P9" s="32">
        <f>表9[[#This Row],[应发工资]]-表9[[#This Row],[考核扣款]]</f>
        <v>3840</v>
      </c>
      <c r="Q9" s="37" t="s">
        <v>28</v>
      </c>
      <c r="R9" s="73"/>
    </row>
    <row r="10" spans="1:18" ht="19.95" customHeight="1">
      <c r="A10" s="29">
        <v>7</v>
      </c>
      <c r="B10" s="3" t="s">
        <v>22</v>
      </c>
      <c r="C10" s="3" t="s">
        <v>23</v>
      </c>
      <c r="D10" s="38" t="s">
        <v>29</v>
      </c>
      <c r="E10" s="14" t="s">
        <v>30</v>
      </c>
      <c r="F10" s="30">
        <f t="shared" ca="1" si="0"/>
        <v>55</v>
      </c>
      <c r="G10" s="3">
        <v>28</v>
      </c>
      <c r="H10" s="3"/>
      <c r="I10" s="31">
        <f>表9[[#This Row],[实际出勤(天)]]+表9[[#This Row],[加班(小时)]]/12</f>
        <v>28</v>
      </c>
      <c r="J10" s="32">
        <f>表9[[#This Row],[结算(天)]]*193.34*表9[[#This Row],[试用期80%]]</f>
        <v>5413.52</v>
      </c>
      <c r="K10" s="33">
        <v>1</v>
      </c>
      <c r="L10" s="34">
        <f>表9[[#This Row],[结算(天)]]*46.66</f>
        <v>1306.48</v>
      </c>
      <c r="M10" s="35"/>
      <c r="N10" s="36">
        <f>表9[[#This Row],[基本工资]]+表9[[#This Row],[管理费]]+表9[[#This Row],[春节补助]]</f>
        <v>6720</v>
      </c>
      <c r="O10" s="32"/>
      <c r="P10" s="32">
        <f>表9[[#This Row],[应发工资]]-表9[[#This Row],[考核扣款]]</f>
        <v>6720</v>
      </c>
      <c r="Q10" s="37"/>
      <c r="R10" s="73"/>
    </row>
    <row r="11" spans="1:18" ht="19.95" customHeight="1">
      <c r="A11" s="29">
        <v>8</v>
      </c>
      <c r="B11" s="3" t="s">
        <v>31</v>
      </c>
      <c r="C11" s="3" t="s">
        <v>32</v>
      </c>
      <c r="D11" s="38" t="s">
        <v>33</v>
      </c>
      <c r="E11" s="15" t="s">
        <v>34</v>
      </c>
      <c r="F11" s="30">
        <f t="shared" ca="1" si="0"/>
        <v>55</v>
      </c>
      <c r="G11" s="3">
        <v>17</v>
      </c>
      <c r="H11" s="3"/>
      <c r="I11" s="31">
        <f>表9[[#This Row],[实际出勤(天)]]+表9[[#This Row],[加班(小时)]]/12</f>
        <v>17</v>
      </c>
      <c r="J11" s="32">
        <f>表9[[#This Row],[结算(天)]]*193.34*表9[[#This Row],[试用期80%]]</f>
        <v>3286.78</v>
      </c>
      <c r="K11" s="33">
        <v>1</v>
      </c>
      <c r="L11" s="34">
        <f>表9[[#This Row],[结算(天)]]*46.66</f>
        <v>793.21999999999991</v>
      </c>
      <c r="M11" s="35"/>
      <c r="N11" s="36">
        <f>表9[[#This Row],[基本工资]]+表9[[#This Row],[管理费]]+表9[[#This Row],[春节补助]]</f>
        <v>4080</v>
      </c>
      <c r="O11" s="32"/>
      <c r="P11" s="32">
        <f>表9[[#This Row],[应发工资]]-表9[[#This Row],[考核扣款]]</f>
        <v>4080</v>
      </c>
      <c r="Q11" s="37" t="s">
        <v>28</v>
      </c>
      <c r="R11" s="73">
        <v>17520</v>
      </c>
    </row>
    <row r="12" spans="1:18" ht="19.95" customHeight="1">
      <c r="A12" s="29">
        <v>9</v>
      </c>
      <c r="B12" s="3" t="s">
        <v>31</v>
      </c>
      <c r="C12" s="3" t="s">
        <v>32</v>
      </c>
      <c r="D12" s="41" t="s">
        <v>35</v>
      </c>
      <c r="E12" s="42" t="s">
        <v>36</v>
      </c>
      <c r="F12" s="30">
        <f t="shared" ca="1" si="0"/>
        <v>60</v>
      </c>
      <c r="G12" s="3">
        <v>28</v>
      </c>
      <c r="H12" s="3"/>
      <c r="I12" s="31">
        <f>表9[[#This Row],[实际出勤(天)]]+表9[[#This Row],[加班(小时)]]/12</f>
        <v>28</v>
      </c>
      <c r="J12" s="32">
        <f>表9[[#This Row],[结算(天)]]*193.34*表9[[#This Row],[试用期80%]]</f>
        <v>5413.52</v>
      </c>
      <c r="K12" s="33">
        <v>1</v>
      </c>
      <c r="L12" s="34">
        <f>表9[[#This Row],[结算(天)]]*46.66</f>
        <v>1306.48</v>
      </c>
      <c r="M12" s="35"/>
      <c r="N12" s="36">
        <f>表9[[#This Row],[基本工资]]+表9[[#This Row],[管理费]]+表9[[#This Row],[春节补助]]</f>
        <v>6720</v>
      </c>
      <c r="O12" s="32"/>
      <c r="P12" s="32">
        <f>表9[[#This Row],[应发工资]]-表9[[#This Row],[考核扣款]]</f>
        <v>6720</v>
      </c>
      <c r="Q12" s="37" t="s">
        <v>37</v>
      </c>
      <c r="R12" s="73"/>
    </row>
    <row r="13" spans="1:18" ht="19.95" customHeight="1">
      <c r="A13" s="29">
        <v>10</v>
      </c>
      <c r="B13" s="3" t="s">
        <v>31</v>
      </c>
      <c r="C13" s="3" t="s">
        <v>32</v>
      </c>
      <c r="D13" s="43" t="s">
        <v>38</v>
      </c>
      <c r="E13" s="16" t="s">
        <v>39</v>
      </c>
      <c r="F13" s="30">
        <f ca="1">DATEDIF(DATE(MID(D13,7,4),MID(D13,11,2),MID(D13,13,2)),TODAY(),"y")</f>
        <v>49</v>
      </c>
      <c r="G13" s="3">
        <v>28</v>
      </c>
      <c r="H13" s="3"/>
      <c r="I13" s="31">
        <f>表9[[#This Row],[实际出勤(天)]]+表9[[#This Row],[加班(小时)]]/12</f>
        <v>28</v>
      </c>
      <c r="J13" s="32">
        <f>表9[[#This Row],[结算(天)]]*193.34*表9[[#This Row],[试用期80%]]</f>
        <v>5413.52</v>
      </c>
      <c r="K13" s="33">
        <v>1</v>
      </c>
      <c r="L13" s="34">
        <f>表9[[#This Row],[结算(天)]]*46.66</f>
        <v>1306.48</v>
      </c>
      <c r="M13" s="35"/>
      <c r="N13" s="36">
        <f>表9[[#This Row],[基本工资]]+表9[[#This Row],[管理费]]+表9[[#This Row],[春节补助]]</f>
        <v>6720</v>
      </c>
      <c r="O13" s="32"/>
      <c r="P13" s="32">
        <f>表9[[#This Row],[应发工资]]-表9[[#This Row],[考核扣款]]</f>
        <v>6720</v>
      </c>
      <c r="Q13" s="37"/>
      <c r="R13" s="73"/>
    </row>
    <row r="14" spans="1:18" ht="19.95" customHeight="1">
      <c r="A14" s="29">
        <v>11</v>
      </c>
      <c r="B14" s="14" t="s">
        <v>40</v>
      </c>
      <c r="C14" s="14" t="s">
        <v>41</v>
      </c>
      <c r="D14" s="38" t="s">
        <v>42</v>
      </c>
      <c r="E14" s="44" t="s">
        <v>43</v>
      </c>
      <c r="F14" s="30">
        <f t="shared" ca="1" si="0"/>
        <v>55</v>
      </c>
      <c r="G14" s="3">
        <v>30</v>
      </c>
      <c r="H14" s="3"/>
      <c r="I14" s="31">
        <f>表9[[#This Row],[实际出勤(天)]]+表9[[#This Row],[加班(小时)]]/12</f>
        <v>30</v>
      </c>
      <c r="J14" s="32">
        <f>表9[[#This Row],[结算(天)]]*193.34*表9[[#This Row],[试用期80%]]</f>
        <v>5800.2</v>
      </c>
      <c r="K14" s="33">
        <v>1</v>
      </c>
      <c r="L14" s="34">
        <f>表9[[#This Row],[结算(天)]]*46.66</f>
        <v>1399.8</v>
      </c>
      <c r="M14" s="35"/>
      <c r="N14" s="36">
        <f>表9[[#This Row],[基本工资]]+表9[[#This Row],[管理费]]+表9[[#This Row],[春节补助]]</f>
        <v>7200</v>
      </c>
      <c r="O14" s="32"/>
      <c r="P14" s="32">
        <f>表9[[#This Row],[应发工资]]-表9[[#This Row],[考核扣款]]</f>
        <v>7200</v>
      </c>
      <c r="Q14" s="37"/>
      <c r="R14" s="73">
        <v>20030</v>
      </c>
    </row>
    <row r="15" spans="1:18" ht="19.95" customHeight="1">
      <c r="A15" s="29">
        <v>12</v>
      </c>
      <c r="B15" s="14" t="s">
        <v>40</v>
      </c>
      <c r="C15" s="14" t="s">
        <v>41</v>
      </c>
      <c r="D15" s="38" t="s">
        <v>44</v>
      </c>
      <c r="E15" s="14" t="s">
        <v>45</v>
      </c>
      <c r="F15" s="30">
        <f t="shared" ca="1" si="0"/>
        <v>50</v>
      </c>
      <c r="G15" s="3">
        <v>5</v>
      </c>
      <c r="H15" s="3"/>
      <c r="I15" s="31">
        <f>表9[[#This Row],[实际出勤(天)]]+表9[[#This Row],[加班(小时)]]/12</f>
        <v>5</v>
      </c>
      <c r="J15" s="32">
        <f>表9[[#This Row],[结算(天)]]*193.34*表9[[#This Row],[试用期80%]]</f>
        <v>966.7</v>
      </c>
      <c r="K15" s="33">
        <v>1</v>
      </c>
      <c r="L15" s="34">
        <f>表9[[#This Row],[结算(天)]]*46.66</f>
        <v>233.29999999999998</v>
      </c>
      <c r="M15" s="35"/>
      <c r="N15" s="36">
        <f>表9[[#This Row],[基本工资]]+表9[[#This Row],[管理费]]+表9[[#This Row],[春节补助]]</f>
        <v>1200</v>
      </c>
      <c r="O15" s="32"/>
      <c r="P15" s="32">
        <f>表9[[#This Row],[应发工资]]-表9[[#This Row],[考核扣款]]</f>
        <v>1200</v>
      </c>
      <c r="Q15" s="37"/>
      <c r="R15" s="73"/>
    </row>
    <row r="16" spans="1:18" ht="19.95" customHeight="1">
      <c r="A16" s="29">
        <v>13</v>
      </c>
      <c r="B16" s="14" t="s">
        <v>40</v>
      </c>
      <c r="C16" s="14" t="s">
        <v>41</v>
      </c>
      <c r="D16" s="17" t="s">
        <v>46</v>
      </c>
      <c r="E16" s="14" t="s">
        <v>47</v>
      </c>
      <c r="F16" s="30">
        <f t="shared" ca="1" si="0"/>
        <v>56</v>
      </c>
      <c r="G16" s="3">
        <v>30</v>
      </c>
      <c r="H16" s="3"/>
      <c r="I16" s="31">
        <f>表9[[#This Row],[实际出勤(天)]]+表9[[#This Row],[加班(小时)]]/12</f>
        <v>30</v>
      </c>
      <c r="J16" s="32">
        <f>表9[[#This Row],[结算(天)]]*193.34*表9[[#This Row],[试用期80%]]</f>
        <v>5800.2</v>
      </c>
      <c r="K16" s="33">
        <v>1</v>
      </c>
      <c r="L16" s="34">
        <f>表9[[#This Row],[结算(天)]]*46.66</f>
        <v>1399.8</v>
      </c>
      <c r="M16" s="35"/>
      <c r="N16" s="36">
        <f>表9[[#This Row],[基本工资]]+表9[[#This Row],[管理费]]+表9[[#This Row],[春节补助]]</f>
        <v>7200</v>
      </c>
      <c r="O16" s="32"/>
      <c r="P16" s="32">
        <f>表9[[#This Row],[应发工资]]-表9[[#This Row],[考核扣款]]</f>
        <v>7200</v>
      </c>
      <c r="Q16" s="37"/>
      <c r="R16" s="73"/>
    </row>
    <row r="17" spans="1:18" ht="19.95" customHeight="1">
      <c r="A17" s="29">
        <v>14</v>
      </c>
      <c r="B17" s="14" t="s">
        <v>40</v>
      </c>
      <c r="C17" s="14" t="s">
        <v>41</v>
      </c>
      <c r="D17" s="43" t="s">
        <v>48</v>
      </c>
      <c r="E17" s="16" t="s">
        <v>49</v>
      </c>
      <c r="F17" s="30">
        <f t="shared" ca="1" si="0"/>
        <v>37</v>
      </c>
      <c r="G17" s="3">
        <v>22</v>
      </c>
      <c r="H17" s="3"/>
      <c r="I17" s="31">
        <f>表9[[#This Row],[实际出勤(天)]]+表9[[#This Row],[加班(小时)]]/12</f>
        <v>22</v>
      </c>
      <c r="J17" s="32">
        <f>表9[[#This Row],[结算(天)]]*193.34*表9[[#This Row],[试用期80%]]</f>
        <v>3402.7840000000006</v>
      </c>
      <c r="K17" s="33">
        <v>0.8</v>
      </c>
      <c r="L17" s="34">
        <f>表9[[#This Row],[结算(天)]]*46.66</f>
        <v>1026.52</v>
      </c>
      <c r="M17" s="35"/>
      <c r="N17" s="36">
        <f>表9[[#This Row],[基本工资]]+表9[[#This Row],[管理费]]+表9[[#This Row],[春节补助]]</f>
        <v>4429.3040000000001</v>
      </c>
      <c r="O17" s="32"/>
      <c r="P17" s="32">
        <v>4430</v>
      </c>
      <c r="Q17" s="37" t="s">
        <v>111</v>
      </c>
      <c r="R17" s="73"/>
    </row>
    <row r="18" spans="1:18" ht="19.95" customHeight="1">
      <c r="A18" s="29">
        <v>15</v>
      </c>
      <c r="B18" s="45" t="s">
        <v>50</v>
      </c>
      <c r="C18" s="45" t="s">
        <v>51</v>
      </c>
      <c r="D18" s="38" t="s">
        <v>52</v>
      </c>
      <c r="E18" s="22" t="s">
        <v>53</v>
      </c>
      <c r="F18" s="30">
        <f t="shared" ca="1" si="0"/>
        <v>48</v>
      </c>
      <c r="G18" s="3">
        <v>30</v>
      </c>
      <c r="H18" s="3"/>
      <c r="I18" s="31">
        <f>表9[[#This Row],[实际出勤(天)]]+表9[[#This Row],[加班(小时)]]/12</f>
        <v>30</v>
      </c>
      <c r="J18" s="32">
        <f>表9[[#This Row],[结算(天)]]*193.34*表9[[#This Row],[试用期80%]]</f>
        <v>5800.2</v>
      </c>
      <c r="K18" s="33">
        <v>1</v>
      </c>
      <c r="L18" s="34">
        <f>表9[[#This Row],[结算(天)]]*46.66</f>
        <v>1399.8</v>
      </c>
      <c r="M18" s="35"/>
      <c r="N18" s="36">
        <f>表9[[#This Row],[基本工资]]+表9[[#This Row],[管理费]]+表9[[#This Row],[春节补助]]</f>
        <v>7200</v>
      </c>
      <c r="O18" s="32"/>
      <c r="P18" s="32">
        <f>表9[[#This Row],[应发工资]]-表9[[#This Row],[考核扣款]]</f>
        <v>7200</v>
      </c>
      <c r="Q18" s="37"/>
      <c r="R18" s="73">
        <v>14400</v>
      </c>
    </row>
    <row r="19" spans="1:18" ht="19.95" customHeight="1">
      <c r="A19" s="29">
        <v>16</v>
      </c>
      <c r="B19" s="3" t="s">
        <v>50</v>
      </c>
      <c r="C19" s="3" t="s">
        <v>51</v>
      </c>
      <c r="D19" s="46" t="s">
        <v>54</v>
      </c>
      <c r="E19" s="47" t="s">
        <v>55</v>
      </c>
      <c r="F19" s="30">
        <f t="shared" ca="1" si="0"/>
        <v>52</v>
      </c>
      <c r="G19" s="3">
        <v>30</v>
      </c>
      <c r="H19" s="3"/>
      <c r="I19" s="31">
        <f>表9[[#This Row],[实际出勤(天)]]+表9[[#This Row],[加班(小时)]]/12</f>
        <v>30</v>
      </c>
      <c r="J19" s="32">
        <f>表9[[#This Row],[结算(天)]]*193.34*表9[[#This Row],[试用期80%]]</f>
        <v>5800.2</v>
      </c>
      <c r="K19" s="33">
        <v>1</v>
      </c>
      <c r="L19" s="34">
        <f>表9[[#This Row],[结算(天)]]*46.66</f>
        <v>1399.8</v>
      </c>
      <c r="M19" s="35"/>
      <c r="N19" s="36">
        <f>表9[[#This Row],[基本工资]]+表9[[#This Row],[管理费]]+表9[[#This Row],[春节补助]]</f>
        <v>7200</v>
      </c>
      <c r="O19" s="32"/>
      <c r="P19" s="32">
        <f>表9[[#This Row],[应发工资]]-表9[[#This Row],[考核扣款]]</f>
        <v>7200</v>
      </c>
      <c r="Q19" s="37"/>
      <c r="R19" s="73"/>
    </row>
    <row r="20" spans="1:18" ht="19.95" customHeight="1">
      <c r="A20" s="29">
        <v>17</v>
      </c>
      <c r="B20" s="3" t="s">
        <v>56</v>
      </c>
      <c r="C20" s="29" t="s">
        <v>57</v>
      </c>
      <c r="D20" s="38" t="s">
        <v>58</v>
      </c>
      <c r="E20" s="44" t="s">
        <v>59</v>
      </c>
      <c r="F20" s="30">
        <f t="shared" ca="1" si="0"/>
        <v>47</v>
      </c>
      <c r="G20" s="48">
        <v>30</v>
      </c>
      <c r="H20" s="49">
        <v>4</v>
      </c>
      <c r="I20" s="31">
        <f>表9[[#This Row],[实际出勤(天)]]+表9[[#This Row],[加班(小时)]]/12</f>
        <v>30.333333333333332</v>
      </c>
      <c r="J20" s="32">
        <f>表9[[#This Row],[结算(天)]]*193.34*表9[[#This Row],[试用期80%]]</f>
        <v>5864.6466666666665</v>
      </c>
      <c r="K20" s="33">
        <v>1</v>
      </c>
      <c r="L20" s="34">
        <f>表9[[#This Row],[结算(天)]]*46.66</f>
        <v>1415.3533333333332</v>
      </c>
      <c r="M20" s="35"/>
      <c r="N20" s="36">
        <f>表9[[#This Row],[基本工资]]+表9[[#This Row],[管理费]]+表9[[#This Row],[春节补助]]</f>
        <v>7280</v>
      </c>
      <c r="O20" s="32"/>
      <c r="P20" s="32">
        <f>表9[[#This Row],[应发工资]]-表9[[#This Row],[考核扣款]]</f>
        <v>7280</v>
      </c>
      <c r="Q20" s="18" t="s">
        <v>100</v>
      </c>
      <c r="R20" s="73">
        <v>16880</v>
      </c>
    </row>
    <row r="21" spans="1:18" ht="19.95" customHeight="1">
      <c r="A21" s="29">
        <v>18</v>
      </c>
      <c r="B21" s="3" t="s">
        <v>56</v>
      </c>
      <c r="C21" s="29" t="s">
        <v>57</v>
      </c>
      <c r="D21" s="38" t="s">
        <v>33</v>
      </c>
      <c r="E21" s="15" t="s">
        <v>34</v>
      </c>
      <c r="F21" s="30">
        <f t="shared" ca="1" si="0"/>
        <v>55</v>
      </c>
      <c r="G21" s="50">
        <v>10</v>
      </c>
      <c r="H21" s="49"/>
      <c r="I21" s="31">
        <f>表9[[#This Row],[实际出勤(天)]]+表9[[#This Row],[加班(小时)]]/12</f>
        <v>10</v>
      </c>
      <c r="J21" s="32">
        <f>表9[[#This Row],[结算(天)]]*193.34*表9[[#This Row],[试用期80%]]</f>
        <v>1933.4</v>
      </c>
      <c r="K21" s="33">
        <v>1</v>
      </c>
      <c r="L21" s="34">
        <f>表9[[#This Row],[结算(天)]]*46.66</f>
        <v>466.59999999999997</v>
      </c>
      <c r="M21" s="35"/>
      <c r="N21" s="36">
        <f>表9[[#This Row],[基本工资]]+表9[[#This Row],[管理费]]+表9[[#This Row],[春节补助]]</f>
        <v>2400</v>
      </c>
      <c r="O21" s="32"/>
      <c r="P21" s="32">
        <f>表9[[#This Row],[应发工资]]-表9[[#This Row],[考核扣款]]</f>
        <v>2400</v>
      </c>
      <c r="Q21" s="51" t="s">
        <v>101</v>
      </c>
      <c r="R21" s="73"/>
    </row>
    <row r="22" spans="1:18" ht="19.95" customHeight="1">
      <c r="A22" s="29">
        <v>19</v>
      </c>
      <c r="B22" s="3" t="s">
        <v>56</v>
      </c>
      <c r="C22" s="29" t="s">
        <v>57</v>
      </c>
      <c r="D22" s="38" t="s">
        <v>60</v>
      </c>
      <c r="E22" s="44" t="s">
        <v>61</v>
      </c>
      <c r="F22" s="30">
        <f t="shared" ca="1" si="0"/>
        <v>52</v>
      </c>
      <c r="G22" s="48">
        <v>30</v>
      </c>
      <c r="H22" s="49"/>
      <c r="I22" s="31">
        <f>表9[[#This Row],[实际出勤(天)]]+表9[[#This Row],[加班(小时)]]/12</f>
        <v>30</v>
      </c>
      <c r="J22" s="32">
        <f>表9[[#This Row],[结算(天)]]*193.34*表9[[#This Row],[试用期80%]]</f>
        <v>5800.2</v>
      </c>
      <c r="K22" s="33">
        <v>1</v>
      </c>
      <c r="L22" s="34">
        <f>表9[[#This Row],[结算(天)]]*46.66</f>
        <v>1399.8</v>
      </c>
      <c r="M22" s="35"/>
      <c r="N22" s="36">
        <f>表9[[#This Row],[基本工资]]+表9[[#This Row],[管理费]]+表9[[#This Row],[春节补助]]</f>
        <v>7200</v>
      </c>
      <c r="O22" s="32"/>
      <c r="P22" s="32">
        <f>表9[[#This Row],[应发工资]]-表9[[#This Row],[考核扣款]]</f>
        <v>7200</v>
      </c>
      <c r="Q22" s="52"/>
      <c r="R22" s="73"/>
    </row>
    <row r="23" spans="1:18" ht="27.6">
      <c r="A23" s="29">
        <v>20</v>
      </c>
      <c r="B23" s="3" t="s">
        <v>62</v>
      </c>
      <c r="C23" s="3" t="s">
        <v>102</v>
      </c>
      <c r="D23" s="38" t="s">
        <v>63</v>
      </c>
      <c r="E23" s="44" t="s">
        <v>64</v>
      </c>
      <c r="F23" s="30">
        <f t="shared" ca="1" si="0"/>
        <v>32</v>
      </c>
      <c r="G23" s="50">
        <v>30</v>
      </c>
      <c r="H23" s="49">
        <v>16</v>
      </c>
      <c r="I23" s="31">
        <f>表9[[#This Row],[实际出勤(天)]]+表9[[#This Row],[加班(小时)]]/12</f>
        <v>31.333333333333332</v>
      </c>
      <c r="J23" s="32">
        <f>表9[[#This Row],[结算(天)]]*193.34*表9[[#This Row],[试用期80%]]</f>
        <v>6057.9866666666667</v>
      </c>
      <c r="K23" s="33">
        <v>1</v>
      </c>
      <c r="L23" s="34">
        <f>表9[[#This Row],[结算(天)]]*46.66</f>
        <v>1462.0133333333331</v>
      </c>
      <c r="M23" s="35"/>
      <c r="N23" s="36">
        <f>表9[[#This Row],[基本工资]]+表9[[#This Row],[管理费]]+表9[[#This Row],[春节补助]]</f>
        <v>7520</v>
      </c>
      <c r="O23" s="32"/>
      <c r="P23" s="32">
        <f>表9[[#This Row],[应发工资]]-表9[[#This Row],[考核扣款]]</f>
        <v>7520</v>
      </c>
      <c r="Q23" s="53" t="s">
        <v>103</v>
      </c>
      <c r="R23" s="73">
        <v>23293</v>
      </c>
    </row>
    <row r="24" spans="1:18" ht="27.6">
      <c r="A24" s="29">
        <v>21</v>
      </c>
      <c r="B24" s="3" t="s">
        <v>62</v>
      </c>
      <c r="C24" s="3" t="s">
        <v>102</v>
      </c>
      <c r="D24" s="38" t="s">
        <v>65</v>
      </c>
      <c r="E24" s="44" t="s">
        <v>66</v>
      </c>
      <c r="F24" s="30">
        <f t="shared" ca="1" si="0"/>
        <v>49</v>
      </c>
      <c r="G24" s="48">
        <v>30</v>
      </c>
      <c r="H24" s="54">
        <v>16</v>
      </c>
      <c r="I24" s="31">
        <f>表9[[#This Row],[实际出勤(天)]]+表9[[#This Row],[加班(小时)]]/12</f>
        <v>31.333333333333332</v>
      </c>
      <c r="J24" s="32">
        <f>表9[[#This Row],[结算(天)]]*193.34*表9[[#This Row],[试用期80%]]</f>
        <v>6057.9866666666667</v>
      </c>
      <c r="K24" s="33">
        <v>1</v>
      </c>
      <c r="L24" s="34">
        <f>表9[[#This Row],[结算(天)]]*46.66</f>
        <v>1462.0133333333331</v>
      </c>
      <c r="M24" s="35"/>
      <c r="N24" s="36">
        <f>表9[[#This Row],[基本工资]]+表9[[#This Row],[管理费]]+表9[[#This Row],[春节补助]]</f>
        <v>7520</v>
      </c>
      <c r="O24" s="32"/>
      <c r="P24" s="32">
        <f>表9[[#This Row],[应发工资]]-表9[[#This Row],[考核扣款]]</f>
        <v>7520</v>
      </c>
      <c r="Q24" s="53" t="s">
        <v>103</v>
      </c>
      <c r="R24" s="73"/>
    </row>
    <row r="25" spans="1:18" ht="19.95" customHeight="1">
      <c r="A25" s="29">
        <v>22</v>
      </c>
      <c r="B25" s="55" t="s">
        <v>62</v>
      </c>
      <c r="C25" s="3" t="s">
        <v>102</v>
      </c>
      <c r="D25" s="38" t="s">
        <v>67</v>
      </c>
      <c r="E25" s="56" t="s">
        <v>104</v>
      </c>
      <c r="F25" s="30">
        <f t="shared" ca="1" si="0"/>
        <v>46</v>
      </c>
      <c r="G25" s="50">
        <v>10</v>
      </c>
      <c r="H25" s="54"/>
      <c r="I25" s="31">
        <f>表9[[#This Row],[实际出勤(天)]]+表9[[#This Row],[加班(小时)]]/12</f>
        <v>10</v>
      </c>
      <c r="J25" s="32">
        <f>表9[[#This Row],[结算(天)]]*193.34*表9[[#This Row],[试用期80%]]</f>
        <v>1546.7200000000003</v>
      </c>
      <c r="K25" s="33">
        <v>0.8</v>
      </c>
      <c r="L25" s="34">
        <f>表9[[#This Row],[结算(天)]]*46.66</f>
        <v>466.59999999999997</v>
      </c>
      <c r="M25" s="35"/>
      <c r="N25" s="36">
        <f>表9[[#This Row],[基本工资]]+表9[[#This Row],[管理费]]+表9[[#This Row],[春节补助]]</f>
        <v>2013.3200000000002</v>
      </c>
      <c r="O25" s="32"/>
      <c r="P25" s="32">
        <v>2013</v>
      </c>
      <c r="Q25" s="19"/>
      <c r="R25" s="73"/>
    </row>
    <row r="26" spans="1:18" ht="19.95" customHeight="1">
      <c r="A26" s="29">
        <v>23</v>
      </c>
      <c r="B26" s="55" t="s">
        <v>62</v>
      </c>
      <c r="C26" s="3" t="s">
        <v>102</v>
      </c>
      <c r="D26" s="41" t="s">
        <v>68</v>
      </c>
      <c r="E26" s="22" t="s">
        <v>69</v>
      </c>
      <c r="F26" s="30">
        <f t="shared" ca="1" si="0"/>
        <v>46</v>
      </c>
      <c r="G26" s="48">
        <v>26</v>
      </c>
      <c r="H26" s="49"/>
      <c r="I26" s="31">
        <f>表9[[#This Row],[实际出勤(天)]]+表9[[#This Row],[加班(小时)]]/12</f>
        <v>26</v>
      </c>
      <c r="J26" s="32">
        <f>表9[[#This Row],[结算(天)]]*193.34*表9[[#This Row],[试用期80%]]</f>
        <v>5026.84</v>
      </c>
      <c r="K26" s="33">
        <v>1</v>
      </c>
      <c r="L26" s="34">
        <f>表9[[#This Row],[结算(天)]]*46.66</f>
        <v>1213.1599999999999</v>
      </c>
      <c r="M26" s="35"/>
      <c r="N26" s="36">
        <f>表9[[#This Row],[基本工资]]+表9[[#This Row],[管理费]]+表9[[#This Row],[春节补助]]</f>
        <v>6240</v>
      </c>
      <c r="O26" s="32"/>
      <c r="P26" s="32">
        <f>表9[[#This Row],[应发工资]]-表9[[#This Row],[考核扣款]]</f>
        <v>6240</v>
      </c>
      <c r="Q26" s="52"/>
      <c r="R26" s="73"/>
    </row>
    <row r="27" spans="1:18" ht="69">
      <c r="A27" s="29">
        <v>24</v>
      </c>
      <c r="B27" s="55" t="s">
        <v>70</v>
      </c>
      <c r="C27" s="3" t="s">
        <v>71</v>
      </c>
      <c r="D27" s="20" t="s">
        <v>72</v>
      </c>
      <c r="E27" s="57" t="s">
        <v>73</v>
      </c>
      <c r="F27" s="30">
        <f t="shared" ca="1" si="0"/>
        <v>50</v>
      </c>
      <c r="G27" s="58">
        <v>30</v>
      </c>
      <c r="H27" s="49">
        <v>50</v>
      </c>
      <c r="I27" s="31">
        <f>表9[[#This Row],[实际出勤(天)]]+表9[[#This Row],[加班(小时)]]/12</f>
        <v>34.166666666666664</v>
      </c>
      <c r="J27" s="32">
        <f>表9[[#This Row],[结算(天)]]*193.34*表9[[#This Row],[试用期80%]]</f>
        <v>6605.7833333333328</v>
      </c>
      <c r="K27" s="33">
        <v>1</v>
      </c>
      <c r="L27" s="34">
        <f>表9[[#This Row],[结算(天)]]*46.66</f>
        <v>1594.2166666666665</v>
      </c>
      <c r="M27" s="35"/>
      <c r="N27" s="36">
        <f>表9[[#This Row],[基本工资]]+表9[[#This Row],[管理费]]+表9[[#This Row],[春节补助]]</f>
        <v>8200</v>
      </c>
      <c r="O27" s="32"/>
      <c r="P27" s="32">
        <f>表9[[#This Row],[应发工资]]-表9[[#This Row],[考核扣款]]</f>
        <v>8200</v>
      </c>
      <c r="Q27" s="53" t="s">
        <v>105</v>
      </c>
      <c r="R27" s="73">
        <v>23960</v>
      </c>
    </row>
    <row r="28" spans="1:18" ht="27.6">
      <c r="A28" s="29">
        <v>25</v>
      </c>
      <c r="B28" s="55" t="s">
        <v>70</v>
      </c>
      <c r="C28" s="3" t="s">
        <v>71</v>
      </c>
      <c r="D28" s="59" t="s">
        <v>74</v>
      </c>
      <c r="E28" s="21" t="s">
        <v>75</v>
      </c>
      <c r="F28" s="30">
        <f t="shared" ca="1" si="0"/>
        <v>52</v>
      </c>
      <c r="G28" s="58">
        <v>30</v>
      </c>
      <c r="H28" s="49">
        <v>20</v>
      </c>
      <c r="I28" s="31">
        <f>表9[[#This Row],[实际出勤(天)]]+表9[[#This Row],[加班(小时)]]/12</f>
        <v>31.666666666666668</v>
      </c>
      <c r="J28" s="32">
        <f>表9[[#This Row],[结算(天)]]*193.34*表9[[#This Row],[试用期80%]]</f>
        <v>6122.4333333333334</v>
      </c>
      <c r="K28" s="33">
        <v>1</v>
      </c>
      <c r="L28" s="34">
        <f>表9[[#This Row],[结算(天)]]*46.66</f>
        <v>1477.5666666666666</v>
      </c>
      <c r="M28" s="35"/>
      <c r="N28" s="36">
        <f>表9[[#This Row],[基本工资]]+表9[[#This Row],[管理费]]+表9[[#This Row],[春节补助]]</f>
        <v>7600</v>
      </c>
      <c r="O28" s="32"/>
      <c r="P28" s="32">
        <f>表9[[#This Row],[应发工资]]-表9[[#This Row],[考核扣款]]</f>
        <v>7600</v>
      </c>
      <c r="Q28" s="53" t="s">
        <v>106</v>
      </c>
      <c r="R28" s="73"/>
    </row>
    <row r="29" spans="1:18" ht="19.95" customHeight="1">
      <c r="A29" s="29">
        <v>26</v>
      </c>
      <c r="B29" s="55" t="s">
        <v>70</v>
      </c>
      <c r="C29" s="3" t="s">
        <v>71</v>
      </c>
      <c r="D29" s="59" t="s">
        <v>26</v>
      </c>
      <c r="E29" s="60" t="s">
        <v>27</v>
      </c>
      <c r="F29" s="61">
        <f t="shared" ca="1" si="0"/>
        <v>46</v>
      </c>
      <c r="G29" s="3">
        <v>10</v>
      </c>
      <c r="H29" s="54"/>
      <c r="I29" s="31">
        <f>表9[[#This Row],[实际出勤(天)]]+表9[[#This Row],[加班(小时)]]/12</f>
        <v>10</v>
      </c>
      <c r="J29" s="32">
        <f>表9[[#This Row],[结算(天)]]*193.34*表9[[#This Row],[试用期80%]]</f>
        <v>1933.4</v>
      </c>
      <c r="K29" s="33">
        <v>1</v>
      </c>
      <c r="L29" s="34">
        <f>表9[[#This Row],[结算(天)]]*46.66</f>
        <v>466.59999999999997</v>
      </c>
      <c r="M29" s="35"/>
      <c r="N29" s="36">
        <f>表9[[#This Row],[基本工资]]+表9[[#This Row],[管理费]]+表9[[#This Row],[春节补助]]</f>
        <v>2400</v>
      </c>
      <c r="O29" s="32"/>
      <c r="P29" s="32">
        <f>表9[[#This Row],[应发工资]]-表9[[#This Row],[考核扣款]]</f>
        <v>2400</v>
      </c>
      <c r="Q29" s="51" t="s">
        <v>101</v>
      </c>
      <c r="R29" s="73"/>
    </row>
    <row r="30" spans="1:18" ht="19.95" customHeight="1">
      <c r="A30" s="29">
        <v>27</v>
      </c>
      <c r="B30" s="55" t="s">
        <v>70</v>
      </c>
      <c r="C30" s="3" t="s">
        <v>71</v>
      </c>
      <c r="D30" s="20" t="s">
        <v>76</v>
      </c>
      <c r="E30" s="21" t="s">
        <v>77</v>
      </c>
      <c r="F30" s="61">
        <f t="shared" ca="1" si="0"/>
        <v>26</v>
      </c>
      <c r="G30" s="58">
        <v>24</v>
      </c>
      <c r="H30" s="49"/>
      <c r="I30" s="31">
        <f>表9[[#This Row],[实际出勤(天)]]+表9[[#This Row],[加班(小时)]]/12</f>
        <v>24</v>
      </c>
      <c r="J30" s="32">
        <f>表9[[#This Row],[结算(天)]]*193.34*表9[[#This Row],[试用期80%]]</f>
        <v>4640.16</v>
      </c>
      <c r="K30" s="33">
        <v>1</v>
      </c>
      <c r="L30" s="34">
        <f>表9[[#This Row],[结算(天)]]*46.66</f>
        <v>1119.8399999999999</v>
      </c>
      <c r="M30" s="35"/>
      <c r="N30" s="36">
        <f>表9[[#This Row],[基本工资]]+表9[[#This Row],[管理费]]+表9[[#This Row],[春节补助]]</f>
        <v>5760</v>
      </c>
      <c r="O30" s="32"/>
      <c r="P30" s="32">
        <f>表9[[#This Row],[应发工资]]-表9[[#This Row],[考核扣款]]</f>
        <v>5760</v>
      </c>
      <c r="Q30" s="52"/>
      <c r="R30" s="73"/>
    </row>
    <row r="31" spans="1:18" ht="27.6">
      <c r="A31" s="29">
        <v>28</v>
      </c>
      <c r="B31" s="55" t="s">
        <v>78</v>
      </c>
      <c r="C31" s="3" t="s">
        <v>71</v>
      </c>
      <c r="D31" s="38" t="s">
        <v>79</v>
      </c>
      <c r="E31" s="22" t="s">
        <v>80</v>
      </c>
      <c r="F31" s="61">
        <f t="shared" ca="1" si="0"/>
        <v>47</v>
      </c>
      <c r="G31" s="50">
        <v>30</v>
      </c>
      <c r="H31" s="49">
        <v>16</v>
      </c>
      <c r="I31" s="31">
        <f>表9[[#This Row],[实际出勤(天)]]+表9[[#This Row],[加班(小时)]]/12</f>
        <v>31.333333333333332</v>
      </c>
      <c r="J31" s="32">
        <f>表9[[#This Row],[结算(天)]]*193.34*表9[[#This Row],[试用期80%]]</f>
        <v>6057.9866666666667</v>
      </c>
      <c r="K31" s="33">
        <v>1</v>
      </c>
      <c r="L31" s="34">
        <f>表9[[#This Row],[结算(天)]]*46.66</f>
        <v>1462.0133333333331</v>
      </c>
      <c r="M31" s="35"/>
      <c r="N31" s="36">
        <f>表9[[#This Row],[基本工资]]+表9[[#This Row],[管理费]]+表9[[#This Row],[春节补助]]</f>
        <v>7520</v>
      </c>
      <c r="O31" s="32"/>
      <c r="P31" s="32">
        <f>表9[[#This Row],[应发工资]]-表9[[#This Row],[考核扣款]]</f>
        <v>7520</v>
      </c>
      <c r="Q31" s="53" t="s">
        <v>107</v>
      </c>
      <c r="R31" s="73">
        <v>29920</v>
      </c>
    </row>
    <row r="32" spans="1:18" ht="27.6">
      <c r="A32" s="29">
        <v>29</v>
      </c>
      <c r="B32" s="55" t="s">
        <v>78</v>
      </c>
      <c r="C32" s="3" t="s">
        <v>71</v>
      </c>
      <c r="D32" s="38" t="s">
        <v>81</v>
      </c>
      <c r="E32" s="44" t="s">
        <v>82</v>
      </c>
      <c r="F32" s="61">
        <f t="shared" ca="1" si="0"/>
        <v>61</v>
      </c>
      <c r="G32" s="58">
        <v>19</v>
      </c>
      <c r="H32" s="49"/>
      <c r="I32" s="31">
        <f>表9[[#This Row],[实际出勤(天)]]+表9[[#This Row],[加班(小时)]]/12</f>
        <v>19</v>
      </c>
      <c r="J32" s="32">
        <f>表9[[#This Row],[结算(天)]]*193.34*表9[[#This Row],[试用期80%]]</f>
        <v>3673.46</v>
      </c>
      <c r="K32" s="33">
        <v>1</v>
      </c>
      <c r="L32" s="34">
        <f>表9[[#This Row],[结算(天)]]*46.66</f>
        <v>886.54</v>
      </c>
      <c r="M32" s="35"/>
      <c r="N32" s="36">
        <f>表9[[#This Row],[基本工资]]+表9[[#This Row],[管理费]]+表9[[#This Row],[春节补助]]</f>
        <v>4560</v>
      </c>
      <c r="O32" s="32"/>
      <c r="P32" s="32">
        <f>表9[[#This Row],[应发工资]]-表9[[#This Row],[考核扣款]]</f>
        <v>4560</v>
      </c>
      <c r="Q32" s="52" t="s">
        <v>108</v>
      </c>
      <c r="R32" s="73"/>
    </row>
    <row r="33" spans="1:18" ht="27.6">
      <c r="A33" s="29">
        <v>30</v>
      </c>
      <c r="B33" s="55" t="s">
        <v>78</v>
      </c>
      <c r="C33" s="3" t="s">
        <v>71</v>
      </c>
      <c r="D33" s="38" t="s">
        <v>83</v>
      </c>
      <c r="E33" s="22" t="s">
        <v>84</v>
      </c>
      <c r="F33" s="61">
        <f t="shared" ca="1" si="0"/>
        <v>50</v>
      </c>
      <c r="G33" s="50">
        <v>30</v>
      </c>
      <c r="H33" s="49">
        <v>16</v>
      </c>
      <c r="I33" s="31">
        <f>表9[[#This Row],[实际出勤(天)]]+表9[[#This Row],[加班(小时)]]/12</f>
        <v>31.333333333333332</v>
      </c>
      <c r="J33" s="32">
        <f>表9[[#This Row],[结算(天)]]*193.34*表9[[#This Row],[试用期80%]]</f>
        <v>6057.9866666666667</v>
      </c>
      <c r="K33" s="33">
        <v>1</v>
      </c>
      <c r="L33" s="34">
        <f>表9[[#This Row],[结算(天)]]*46.66</f>
        <v>1462.0133333333331</v>
      </c>
      <c r="M33" s="35"/>
      <c r="N33" s="36">
        <f>表9[[#This Row],[基本工资]]+表9[[#This Row],[管理费]]+表9[[#This Row],[春节补助]]</f>
        <v>7520</v>
      </c>
      <c r="O33" s="32"/>
      <c r="P33" s="32">
        <f>表9[[#This Row],[应发工资]]-表9[[#This Row],[考核扣款]]</f>
        <v>7520</v>
      </c>
      <c r="Q33" s="52" t="s">
        <v>109</v>
      </c>
      <c r="R33" s="73"/>
    </row>
    <row r="34" spans="1:18" ht="19.95" customHeight="1">
      <c r="A34" s="29">
        <v>31</v>
      </c>
      <c r="B34" s="55" t="s">
        <v>78</v>
      </c>
      <c r="C34" s="3" t="s">
        <v>71</v>
      </c>
      <c r="D34" s="38" t="s">
        <v>85</v>
      </c>
      <c r="E34" s="14" t="s">
        <v>86</v>
      </c>
      <c r="F34" s="61">
        <f t="shared" ca="1" si="0"/>
        <v>53</v>
      </c>
      <c r="G34" s="58">
        <v>30</v>
      </c>
      <c r="H34" s="49"/>
      <c r="I34" s="31">
        <f>表9[[#This Row],[实际出勤(天)]]+表9[[#This Row],[加班(小时)]]/12</f>
        <v>30</v>
      </c>
      <c r="J34" s="32">
        <f>表9[[#This Row],[结算(天)]]*193.34*表9[[#This Row],[试用期80%]]</f>
        <v>5800.2</v>
      </c>
      <c r="K34" s="33">
        <v>1</v>
      </c>
      <c r="L34" s="34">
        <f>表9[[#This Row],[结算(天)]]*46.66</f>
        <v>1399.8</v>
      </c>
      <c r="M34" s="35"/>
      <c r="N34" s="36">
        <f>表9[[#This Row],[基本工资]]+表9[[#This Row],[管理费]]+表9[[#This Row],[春节补助]]</f>
        <v>7200</v>
      </c>
      <c r="O34" s="32"/>
      <c r="P34" s="32">
        <f>表9[[#This Row],[应发工资]]-表9[[#This Row],[考核扣款]]</f>
        <v>7200</v>
      </c>
      <c r="Q34" s="23"/>
      <c r="R34" s="73"/>
    </row>
    <row r="35" spans="1:18" ht="19.95" customHeight="1">
      <c r="A35" s="29">
        <v>32</v>
      </c>
      <c r="B35" s="55" t="s">
        <v>78</v>
      </c>
      <c r="C35" s="3" t="s">
        <v>71</v>
      </c>
      <c r="D35" s="38"/>
      <c r="E35" s="42" t="s">
        <v>87</v>
      </c>
      <c r="F35" s="61"/>
      <c r="G35" s="50">
        <v>13</v>
      </c>
      <c r="H35" s="49"/>
      <c r="I35" s="31">
        <f>表9[[#This Row],[实际出勤(天)]]+表9[[#This Row],[加班(小时)]]/12</f>
        <v>13</v>
      </c>
      <c r="J35" s="32">
        <f>表9[[#This Row],[结算(天)]]*193.34*表9[[#This Row],[试用期80%]]</f>
        <v>2513.42</v>
      </c>
      <c r="K35" s="33">
        <v>1</v>
      </c>
      <c r="L35" s="34">
        <f>表9[[#This Row],[结算(天)]]*46.66</f>
        <v>606.57999999999993</v>
      </c>
      <c r="M35" s="35"/>
      <c r="N35" s="36">
        <f>表9[[#This Row],[基本工资]]+表9[[#This Row],[管理费]]+表9[[#This Row],[春节补助]]</f>
        <v>3120</v>
      </c>
      <c r="O35" s="32"/>
      <c r="P35" s="32">
        <f>表9[[#This Row],[应发工资]]-表9[[#This Row],[考核扣款]]</f>
        <v>3120</v>
      </c>
      <c r="Q35" s="23" t="s">
        <v>110</v>
      </c>
      <c r="R35" s="73"/>
    </row>
    <row r="36" spans="1:18" ht="19.95" customHeight="1">
      <c r="A36" s="29"/>
      <c r="B36" s="3"/>
      <c r="C36" s="3"/>
      <c r="D36" s="44"/>
      <c r="E36" s="44"/>
      <c r="F36" s="61" t="e">
        <f t="shared" ref="F36:F37" ca="1" si="1">DATEDIF(DATE(MID(D36,7,4),MID(D36,11,2),MID(D36,13,2)),TODAY(),"y")</f>
        <v>#VALUE!</v>
      </c>
      <c r="G36" s="58"/>
      <c r="H36" s="18"/>
      <c r="I36" s="62">
        <f>表9[[#This Row],[实际出勤(天)]]+表9[[#This Row],[加班(小时)]]/12</f>
        <v>0</v>
      </c>
      <c r="J36" s="63">
        <f>表9[[#This Row],[结算(天)]]*193.34*表9[[#This Row],[试用期80%]]</f>
        <v>0</v>
      </c>
      <c r="K36" s="64"/>
      <c r="L36" s="65">
        <f>表9[[#This Row],[结算(天)]]*46.66</f>
        <v>0</v>
      </c>
      <c r="M36" s="63"/>
      <c r="N36" s="44">
        <f>表9[[#This Row],[基本工资]]+表9[[#This Row],[管理费]]+表9[[#This Row],[春节补助]]</f>
        <v>0</v>
      </c>
      <c r="O36" s="63"/>
      <c r="P36" s="63">
        <f>表9[[#This Row],[应发工资]]-表9[[#This Row],[考核扣款]]</f>
        <v>0</v>
      </c>
      <c r="Q36" s="23"/>
      <c r="R36" s="1"/>
    </row>
    <row r="37" spans="1:18" ht="19.95" customHeight="1">
      <c r="A37" s="29"/>
      <c r="B37" s="3"/>
      <c r="C37" s="3"/>
      <c r="D37" s="35"/>
      <c r="E37" s="35"/>
      <c r="F37" s="61" t="e">
        <f t="shared" ca="1" si="1"/>
        <v>#VALUE!</v>
      </c>
      <c r="G37" s="50"/>
      <c r="H37" s="18"/>
      <c r="I37" s="31">
        <f>表9[[#This Row],[实际出勤(天)]]+表9[[#This Row],[加班(小时)]]/12</f>
        <v>0</v>
      </c>
      <c r="J37" s="32">
        <f>表9[[#This Row],[结算(天)]]*193.34*表9[[#This Row],[试用期80%]]</f>
        <v>0</v>
      </c>
      <c r="K37" s="33"/>
      <c r="L37" s="34">
        <f>表9[[#This Row],[结算(天)]]*46.66</f>
        <v>0</v>
      </c>
      <c r="M37" s="35"/>
      <c r="N37" s="35">
        <f>表9[[#This Row],[基本工资]]+表9[[#This Row],[管理费]]+表9[[#This Row],[春节补助]]</f>
        <v>0</v>
      </c>
      <c r="O37" s="32"/>
      <c r="P37" s="32">
        <f>表9[[#This Row],[应发工资]]-表9[[#This Row],[考核扣款]]</f>
        <v>0</v>
      </c>
      <c r="Q37" s="23"/>
      <c r="R37" s="1"/>
    </row>
    <row r="38" spans="1:18" ht="19.95" customHeight="1">
      <c r="A38" s="66" t="s">
        <v>88</v>
      </c>
      <c r="B38" s="67"/>
      <c r="C38" s="67"/>
      <c r="D38" s="67"/>
      <c r="E38" s="67"/>
      <c r="F38" s="67"/>
      <c r="G38" s="67">
        <f>SUBTOTAL(109,表9[实际出勤(天)])</f>
        <v>759</v>
      </c>
      <c r="H38" s="67">
        <f>SUBTOTAL(109,表9[加班(小时)])</f>
        <v>138</v>
      </c>
      <c r="I38" s="68">
        <f>SUBTOTAL(109,表9[结算(天)])</f>
        <v>770.5</v>
      </c>
      <c r="J38" s="69">
        <f>SUBTOTAL(109,表9[基本工资])</f>
        <v>147305.74599999998</v>
      </c>
      <c r="K38" s="70"/>
      <c r="L38" s="71">
        <f>SUBTOTAL(109,表9[管理费])</f>
        <v>35951.529999999992</v>
      </c>
      <c r="M38" s="67"/>
      <c r="N38" s="67">
        <f>SUBTOTAL(109,表9[应发工资])</f>
        <v>183257.27600000001</v>
      </c>
      <c r="O38" s="69">
        <f>SUBTOTAL(109,表9[考核扣款])</f>
        <v>0</v>
      </c>
      <c r="P38" s="69">
        <f>SUBTOTAL(109,表9[实发工资])</f>
        <v>183258</v>
      </c>
      <c r="Q38" s="72">
        <f>SUBTOTAL(103,表9[备注])</f>
        <v>17</v>
      </c>
      <c r="R38" s="1"/>
    </row>
    <row r="39" spans="1:18" ht="19.95" customHeight="1">
      <c r="A39" s="24" t="s">
        <v>112</v>
      </c>
      <c r="B39" s="2"/>
      <c r="C39" s="2"/>
      <c r="D39" s="2"/>
      <c r="E39" s="2"/>
      <c r="F39" s="2"/>
      <c r="G39" s="2"/>
      <c r="H39" s="2"/>
      <c r="I39" s="25"/>
      <c r="J39" s="26"/>
      <c r="K39" s="27"/>
      <c r="L39" s="28"/>
      <c r="M39" s="2"/>
      <c r="N39" s="2"/>
      <c r="O39" s="26"/>
      <c r="P39" s="26"/>
      <c r="Q39" s="2"/>
      <c r="R39" s="2"/>
    </row>
  </sheetData>
  <mergeCells count="11">
    <mergeCell ref="R14:R17"/>
    <mergeCell ref="A1:Q1"/>
    <mergeCell ref="B2:Q2"/>
    <mergeCell ref="R4:R7"/>
    <mergeCell ref="R8:R10"/>
    <mergeCell ref="R11:R13"/>
    <mergeCell ref="R18:R19"/>
    <mergeCell ref="R20:R22"/>
    <mergeCell ref="R23:R26"/>
    <mergeCell ref="R27:R30"/>
    <mergeCell ref="R31:R35"/>
  </mergeCells>
  <phoneticPr fontId="1" type="noConversion"/>
  <conditionalFormatting sqref="O1:O2 O4:O39">
    <cfRule type="cellIs" dxfId="43" priority="1" operator="greaterThan">
      <formula>0</formula>
    </cfRule>
  </conditionalFormatting>
  <conditionalFormatting sqref="G39">
    <cfRule type="cellIs" dxfId="42" priority="4" operator="greaterThan">
      <formula>30</formula>
    </cfRule>
  </conditionalFormatting>
  <conditionalFormatting sqref="K3">
    <cfRule type="cellIs" dxfId="41" priority="3" operator="equal">
      <formula>0.8</formula>
    </cfRule>
  </conditionalFormatting>
  <conditionalFormatting sqref="K1:K26 K28:K35 K37:K39">
    <cfRule type="cellIs" dxfId="40" priority="2" operator="equal">
      <formula>0.8</formula>
    </cfRule>
  </conditionalFormatting>
  <pageMargins left="0.7" right="0.7" top="0.75" bottom="0.75" header="0.3" footer="0.3"/>
  <pageSetup paperSize="9" orientation="portrait" r:id="rId1"/>
  <legacy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德兴--4月份考勤明细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 HOU</dc:creator>
  <cp:lastModifiedBy>lenovo</cp:lastModifiedBy>
  <cp:lastPrinted>2019-04-18T08:44:01Z</cp:lastPrinted>
  <dcterms:created xsi:type="dcterms:W3CDTF">2018-07-02T12:23:12Z</dcterms:created>
  <dcterms:modified xsi:type="dcterms:W3CDTF">2019-05-28T01:17:53Z</dcterms:modified>
</cp:coreProperties>
</file>