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im.wang\Desktop\"/>
    </mc:Choice>
  </mc:AlternateContent>
  <bookViews>
    <workbookView xWindow="-120" yWindow="-120" windowWidth="20730" windowHeight="11160"/>
  </bookViews>
  <sheets>
    <sheet name="费用明细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G37" i="1" l="1"/>
  <c r="C55" i="1" l="1"/>
  <c r="D51" i="1"/>
  <c r="C51" i="1" s="1"/>
  <c r="D59" i="1"/>
  <c r="C59" i="1" s="1"/>
  <c r="D75" i="1"/>
  <c r="C75" i="1" s="1"/>
  <c r="C50" i="1"/>
  <c r="D67" i="1"/>
  <c r="C67" i="1" s="1"/>
  <c r="C62" i="1"/>
  <c r="C76" i="1"/>
  <c r="C78" i="1"/>
  <c r="C60" i="1"/>
  <c r="C53" i="1"/>
  <c r="G36" i="1"/>
  <c r="G38" i="1"/>
  <c r="G31" i="1"/>
  <c r="G33" i="1" s="1"/>
  <c r="G20" i="1"/>
  <c r="G21" i="1"/>
  <c r="G22" i="1"/>
  <c r="G23" i="1"/>
  <c r="G24" i="1"/>
  <c r="G25" i="1"/>
  <c r="G16" i="1"/>
  <c r="G17" i="1"/>
  <c r="G18" i="1"/>
  <c r="G19" i="1"/>
  <c r="G5" i="1"/>
  <c r="G6" i="1"/>
  <c r="G7" i="1"/>
  <c r="G8" i="1"/>
  <c r="G9" i="1"/>
  <c r="E10" i="1"/>
  <c r="G10" i="1" s="1"/>
  <c r="G39" i="1" l="1"/>
  <c r="C54" i="1"/>
  <c r="G27" i="1"/>
  <c r="G28" i="1" s="1"/>
  <c r="C61" i="1"/>
  <c r="C63" i="1" s="1"/>
  <c r="G34" i="1"/>
  <c r="C77" i="1"/>
  <c r="C79" i="1" s="1"/>
  <c r="C52" i="1"/>
  <c r="C56" i="1" s="1"/>
  <c r="G13" i="1"/>
  <c r="G41" i="1" l="1"/>
  <c r="G42" i="1"/>
  <c r="C58" i="1"/>
  <c r="C65" i="1"/>
  <c r="C81" i="1"/>
  <c r="G44" i="1" l="1"/>
  <c r="I44" i="1" s="1"/>
  <c r="C83" i="1"/>
</calcChain>
</file>

<file path=xl/sharedStrings.xml><?xml version="1.0" encoding="utf-8"?>
<sst xmlns="http://schemas.openxmlformats.org/spreadsheetml/2006/main" count="132" uniqueCount="109">
  <si>
    <t>内容</t>
    <phoneticPr fontId="3" type="noConversion"/>
  </si>
  <si>
    <t>单价</t>
    <phoneticPr fontId="3" type="noConversion"/>
  </si>
  <si>
    <t>单位</t>
    <phoneticPr fontId="3" type="noConversion"/>
  </si>
  <si>
    <t>数量</t>
    <phoneticPr fontId="3" type="noConversion"/>
  </si>
  <si>
    <t>时间</t>
    <phoneticPr fontId="3" type="noConversion"/>
  </si>
  <si>
    <t>小计</t>
    <phoneticPr fontId="3" type="noConversion"/>
  </si>
  <si>
    <t>备注</t>
    <phoneticPr fontId="3" type="noConversion"/>
  </si>
  <si>
    <t>麦田方费用</t>
    <phoneticPr fontId="3" type="noConversion"/>
  </si>
  <si>
    <t>项目执行费用</t>
    <phoneticPr fontId="3" type="noConversion"/>
  </si>
  <si>
    <t>项目初期培训</t>
    <phoneticPr fontId="3" type="noConversion"/>
  </si>
  <si>
    <t>次</t>
    <phoneticPr fontId="3" type="noConversion"/>
  </si>
  <si>
    <t>通过电话会进行项目初期的培训</t>
    <phoneticPr fontId="3" type="noConversion"/>
  </si>
  <si>
    <t xml:space="preserve"> 运营中的反馈数据收集及录入</t>
    <phoneticPr fontId="3" type="noConversion"/>
  </si>
  <si>
    <t>小时/人</t>
    <phoneticPr fontId="3" type="noConversion"/>
  </si>
  <si>
    <t>与药师或销售沟通、答疑、反馈，以电话、邮件、微信等形式的日常沟通</t>
    <phoneticPr fontId="3" type="noConversion"/>
  </si>
  <si>
    <t>数据统计、整理，根据原始数据，制作项目进度的汇报。此阶段为表格及PPT形式，含区域每周进度及项目总结报告</t>
    <phoneticPr fontId="3" type="noConversion"/>
  </si>
  <si>
    <t>月</t>
    <phoneticPr fontId="3" type="noConversion"/>
  </si>
  <si>
    <t>税费</t>
    <phoneticPr fontId="3" type="noConversion"/>
  </si>
  <si>
    <t>麦田税费</t>
    <phoneticPr fontId="3" type="noConversion"/>
  </si>
  <si>
    <t>仅包含麦田方费用税费</t>
    <phoneticPr fontId="3" type="noConversion"/>
  </si>
  <si>
    <t>总计</t>
    <phoneticPr fontId="3" type="noConversion"/>
  </si>
  <si>
    <t>血糖仪耗材费用</t>
    <phoneticPr fontId="3" type="noConversion"/>
  </si>
  <si>
    <t>血糖仪供应商</t>
    <phoneticPr fontId="3" type="noConversion"/>
  </si>
  <si>
    <t>套</t>
    <phoneticPr fontId="3" type="noConversion"/>
  </si>
  <si>
    <t>小计</t>
    <phoneticPr fontId="3" type="noConversion"/>
  </si>
  <si>
    <t>协会（管理费+税费）</t>
    <phoneticPr fontId="3" type="noConversion"/>
  </si>
  <si>
    <t>类别</t>
    <phoneticPr fontId="3" type="noConversion"/>
  </si>
  <si>
    <t>执行手册撰写</t>
    <phoneticPr fontId="3" type="noConversion"/>
  </si>
  <si>
    <t>执行手册撰写、包含PPT内化。不超过20P</t>
    <phoneticPr fontId="3" type="noConversion"/>
  </si>
  <si>
    <t>项目初期的文件准备，审核，修改</t>
  </si>
  <si>
    <t>每月按照30小时计算（即5天）计算，每周一次，每天6小时，</t>
    <phoneticPr fontId="3" type="noConversion"/>
  </si>
  <si>
    <t>暂定5天，每天6小时，</t>
    <phoneticPr fontId="3" type="noConversion"/>
  </si>
  <si>
    <t>项目工作前期</t>
    <phoneticPr fontId="3" type="noConversion"/>
  </si>
  <si>
    <t>项目工作执行</t>
    <phoneticPr fontId="3" type="noConversion"/>
  </si>
  <si>
    <t>项目执行统计</t>
    <phoneticPr fontId="3" type="noConversion"/>
  </si>
  <si>
    <t>数据整理，对情况进行实时反馈，每月共用8天，每天8小时</t>
    <phoneticPr fontId="3" type="noConversion"/>
  </si>
  <si>
    <t>每月按照176小时计算（即22天）计算，每天8小时，</t>
    <phoneticPr fontId="3" type="noConversion"/>
  </si>
  <si>
    <t>页</t>
    <phoneticPr fontId="3" type="noConversion"/>
  </si>
  <si>
    <t>2020线下血糖随访管理项目     费用明细</t>
    <phoneticPr fontId="3" type="noConversion"/>
  </si>
  <si>
    <t>新增需求</t>
  </si>
  <si>
    <t>试纸</t>
    <phoneticPr fontId="3" type="noConversion"/>
  </si>
  <si>
    <t>血糖仪起始关爱包</t>
    <phoneticPr fontId="3" type="noConversion"/>
  </si>
  <si>
    <t>盒</t>
    <phoneticPr fontId="3" type="noConversion"/>
  </si>
  <si>
    <t>50条试纸/盒（已含税）</t>
    <phoneticPr fontId="3" type="noConversion"/>
  </si>
  <si>
    <t>执行和耗材</t>
    <phoneticPr fontId="3" type="noConversion"/>
  </si>
  <si>
    <t>包含糖护士荷血糖仪一台（含一年流量卡），50条配套试纸、采血笔一支、采血针50支 （已含税）</t>
    <phoneticPr fontId="3" type="noConversion"/>
  </si>
  <si>
    <t>一个专员一个坐席</t>
    <phoneticPr fontId="3" type="noConversion"/>
  </si>
  <si>
    <t>一个坐席一台话机</t>
    <phoneticPr fontId="3" type="noConversion"/>
  </si>
  <si>
    <t>所有药店共用一个号码</t>
    <phoneticPr fontId="3" type="noConversion"/>
  </si>
  <si>
    <t>专员随访所产生的通话费用</t>
    <phoneticPr fontId="3" type="noConversion"/>
  </si>
  <si>
    <t>服务器费用</t>
    <phoneticPr fontId="3" type="noConversion"/>
  </si>
  <si>
    <t>系统维护</t>
    <phoneticPr fontId="3" type="noConversion"/>
  </si>
  <si>
    <t>系统优化</t>
    <phoneticPr fontId="3" type="noConversion"/>
  </si>
  <si>
    <t>连锁对接</t>
    <phoneticPr fontId="3" type="noConversion"/>
  </si>
  <si>
    <t>项目管理</t>
    <phoneticPr fontId="3" type="noConversion"/>
  </si>
  <si>
    <t>坐席*年</t>
    <phoneticPr fontId="3" type="noConversion"/>
  </si>
  <si>
    <t>台</t>
    <phoneticPr fontId="3" type="noConversion"/>
  </si>
  <si>
    <t>个*月</t>
    <phoneticPr fontId="3" type="noConversion"/>
  </si>
  <si>
    <t>分钟</t>
    <phoneticPr fontId="3" type="noConversion"/>
  </si>
  <si>
    <t>年</t>
    <phoneticPr fontId="3" type="noConversion"/>
  </si>
  <si>
    <t>人*天</t>
    <phoneticPr fontId="3" type="noConversion"/>
  </si>
  <si>
    <t>人/月</t>
    <phoneticPr fontId="3" type="noConversion"/>
  </si>
  <si>
    <t>呼叫业务</t>
    <phoneticPr fontId="3" type="noConversion"/>
  </si>
  <si>
    <t>项目运营</t>
    <phoneticPr fontId="3" type="noConversion"/>
  </si>
  <si>
    <t>预算与前合同持平</t>
    <phoneticPr fontId="3" type="noConversion"/>
  </si>
  <si>
    <t>按照实际发生工作量计算，人*天单价：¥1,400.00</t>
    <phoneticPr fontId="3" type="noConversion"/>
  </si>
  <si>
    <t>1、负责与客户沟通需求任务，安排团队分工，跟进任务执行；
2、组织内部定期和不定期项目进度总结，并及时向客户汇报进展及下一步工作调整安排；
3、组织团队与麦田、赛诺菲一起Review项目的执行，查漏补缺，及时优化；
4、支持解决患者、连锁相关人员及麦田使用患者端
5. 药师端、管理后台碰到的问题；
6、对数据源文件进行处理及整理，并定期给到麦田；</t>
    <phoneticPr fontId="3" type="noConversion"/>
  </si>
  <si>
    <t>人/天</t>
    <phoneticPr fontId="3" type="noConversion"/>
  </si>
  <si>
    <t>技术运维费用</t>
    <phoneticPr fontId="3" type="noConversion"/>
  </si>
  <si>
    <t>税费</t>
    <phoneticPr fontId="3" type="noConversion"/>
  </si>
  <si>
    <t>仅包含未含税类目</t>
    <phoneticPr fontId="3" type="noConversion"/>
  </si>
  <si>
    <t>随访费用</t>
    <phoneticPr fontId="3" type="noConversion"/>
  </si>
  <si>
    <t>1、本报价不包含员工在公众假期上班；如需安排，需另外计费；
2、本报价不包含通信费用、设备费用、系统费用；
3、本报价不包含质检、培训导师等岗位，如需设置，另外报价；
4、因项目目前规模小，采用安排1个管理人员兼用的模式；
5、最多支持两个回访专员，超出需再重新商议；
6、慢病随访客服每人日均回访电话为大约150通，接通率大约为75-100通，未接通用户会连续拨打三次，每月回访电话大约为3000通，接通人数大约为1500-2000人。即：每位客服最大随访承载量大约为1500-2000人/月。超过此承载量时需增加人力。（另：在合同中再细化确定每月需要的专员数量）</t>
    <phoneticPr fontId="3" type="noConversion"/>
  </si>
  <si>
    <t>一线随访人员</t>
    <phoneticPr fontId="3" type="noConversion"/>
  </si>
  <si>
    <t>随访</t>
    <phoneticPr fontId="3" type="noConversion"/>
  </si>
  <si>
    <t>人/月</t>
    <phoneticPr fontId="3" type="noConversion"/>
  </si>
  <si>
    <t>随访费用</t>
    <phoneticPr fontId="3" type="noConversion"/>
  </si>
  <si>
    <t>协会管理费</t>
    <phoneticPr fontId="3" type="noConversion"/>
  </si>
  <si>
    <t>协会税费</t>
    <phoneticPr fontId="3" type="noConversion"/>
  </si>
  <si>
    <t>耗材花费</t>
    <phoneticPr fontId="3" type="noConversion"/>
  </si>
  <si>
    <t>50家门店服务器费用</t>
    <phoneticPr fontId="3" type="noConversion"/>
  </si>
  <si>
    <t>随访人员费用</t>
    <phoneticPr fontId="3" type="noConversion"/>
  </si>
  <si>
    <t>麦田费用</t>
  </si>
  <si>
    <t>麦田费用</t>
    <phoneticPr fontId="3" type="noConversion"/>
  </si>
  <si>
    <t>协会费用</t>
  </si>
  <si>
    <t>协会费用</t>
    <phoneticPr fontId="3" type="noConversion"/>
  </si>
  <si>
    <t>50家门店耗材</t>
    <phoneticPr fontId="3" type="noConversion"/>
  </si>
  <si>
    <t>启动资金</t>
    <phoneticPr fontId="3" type="noConversion"/>
  </si>
  <si>
    <t>sum</t>
  </si>
  <si>
    <t>sum</t>
    <phoneticPr fontId="3" type="noConversion"/>
  </si>
  <si>
    <t>第二笔</t>
    <phoneticPr fontId="3" type="noConversion"/>
  </si>
  <si>
    <t>前3个月目标入组人数 /门店</t>
    <phoneticPr fontId="3" type="noConversion"/>
  </si>
  <si>
    <t>80家门店耗材</t>
  </si>
  <si>
    <t>80家门店耗材</t>
    <phoneticPr fontId="3" type="noConversion"/>
  </si>
  <si>
    <t>80家门店服务器</t>
  </si>
  <si>
    <t>80家门店服务器</t>
    <phoneticPr fontId="3" type="noConversion"/>
  </si>
  <si>
    <t>麦田设计</t>
  </si>
  <si>
    <t>麦田设计</t>
    <phoneticPr fontId="3" type="noConversion"/>
  </si>
  <si>
    <t>第三笔</t>
    <phoneticPr fontId="3" type="noConversion"/>
  </si>
  <si>
    <t>第四笔</t>
    <phoneticPr fontId="3" type="noConversion"/>
  </si>
  <si>
    <t>90家门店耗材</t>
    <phoneticPr fontId="3" type="noConversion"/>
  </si>
  <si>
    <t>90家门店服务器</t>
    <phoneticPr fontId="3" type="noConversion"/>
  </si>
  <si>
    <t>胰岛素笔环</t>
    <phoneticPr fontId="3" type="noConversion"/>
  </si>
  <si>
    <t>支</t>
    <phoneticPr fontId="3" type="noConversion"/>
  </si>
  <si>
    <t>继续使用智齿外呼平台，单价与前合同一致
按照实际发生费用支付已含税</t>
    <phoneticPr fontId="3" type="noConversion"/>
  </si>
  <si>
    <t>已含税</t>
    <phoneticPr fontId="3" type="noConversion"/>
  </si>
  <si>
    <t>预算与前合同持平：前合同（截止2020.7.19）的服务器配置计划支持4000个用户，日活2000。但由于入组速度较慢，目前实际入组约450人，日活80人。
新合同目标8000名来得时患者，按照比例总用户数约2万名。考虑到患者增长需要一个过程，且患者实际活跃也要看药店及麦田的运营，所以建议服务器配置与旧合同持平，当服务器压力较大时再申请追加配置。（已含税）</t>
    <phoneticPr fontId="3" type="noConversion"/>
  </si>
  <si>
    <t>待修改的功能集中一起，然后核算工时出报价，人*天单价：¥1,400.00</t>
    <phoneticPr fontId="3" type="noConversion"/>
  </si>
  <si>
    <t>项目执行过程中的功能新增，优化等。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</si>
</sst>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#,##0.00_ "/>
    <numFmt numFmtId="178" formatCode="[$¥-804]#,##0.00"/>
    <numFmt numFmtId="179" formatCode="&quot;¥&quot;#,##0.00_);[Red]\(&quot;¥&quot;#,##0.00\)"/>
    <numFmt numFmtId="180" formatCode="0.0000%"/>
    <numFmt numFmtId="181" formatCode="#,##0.00_ ;[Red]\-#,##0.00\ "/>
    <numFmt numFmtId="182" formatCode="\¥#,##0.00"/>
    <numFmt numFmtId="183" formatCode="_ * #,##0_ ;_ * \-#,##0_ ;_ * &quot;-&quot;??_ ;_ @_ "/>
    <numFmt numFmtId="184" formatCode="[$¥-804]#,##0"/>
    <numFmt numFmtId="185" formatCode="_ &quot;¥&quot;* #,##0_ ;_ &quot;¥&quot;* \-#,##0_ ;_ &quot;¥&quot;* &quot;-&quot;??_ ;_ @_ "/>
  </numFmts>
  <fonts count="1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6"/>
      <name val="微软雅黑"/>
      <family val="2"/>
      <charset val="134"/>
    </font>
    <font>
      <sz val="9"/>
      <name val="宋体"/>
      <family val="3"/>
      <charset val="134"/>
    </font>
    <font>
      <b/>
      <sz val="14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Times New Roman"/>
      <family val="1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11"/>
      <color rgb="FF00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178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78" fontId="6" fillId="0" borderId="0">
      <alignment vertical="center"/>
    </xf>
    <xf numFmtId="178" fontId="8" fillId="0" borderId="0"/>
    <xf numFmtId="178" fontId="13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57">
    <xf numFmtId="178" fontId="0" fillId="0" borderId="0" xfId="0">
      <alignment vertical="center"/>
    </xf>
    <xf numFmtId="178" fontId="7" fillId="0" borderId="1" xfId="2" applyFont="1" applyBorder="1" applyAlignment="1">
      <alignment horizontal="center" vertical="center" wrapText="1"/>
    </xf>
    <xf numFmtId="178" fontId="7" fillId="0" borderId="1" xfId="3" applyFont="1" applyFill="1" applyBorder="1" applyAlignment="1" applyProtection="1">
      <alignment horizontal="left" vertical="center" wrapText="1"/>
      <protection locked="0"/>
    </xf>
    <xf numFmtId="179" fontId="9" fillId="0" borderId="1" xfId="0" applyNumberFormat="1" applyFont="1" applyFill="1" applyBorder="1" applyAlignment="1">
      <alignment horizontal="right" vertical="center" wrapText="1"/>
    </xf>
    <xf numFmtId="178" fontId="9" fillId="4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0" fontId="7" fillId="0" borderId="1" xfId="0" applyNumberFormat="1" applyFont="1" applyBorder="1" applyAlignment="1">
      <alignment horizontal="right" vertical="center" wrapText="1"/>
    </xf>
    <xf numFmtId="178" fontId="10" fillId="0" borderId="1" xfId="3" applyFont="1" applyFill="1" applyBorder="1" applyAlignment="1" applyProtection="1">
      <alignment horizontal="left" vertical="center" wrapText="1"/>
      <protection locked="0"/>
    </xf>
    <xf numFmtId="10" fontId="9" fillId="0" borderId="1" xfId="1" applyNumberFormat="1" applyFont="1" applyFill="1" applyBorder="1" applyAlignment="1">
      <alignment horizontal="right" vertical="center" wrapText="1"/>
    </xf>
    <xf numFmtId="178" fontId="11" fillId="0" borderId="1" xfId="0" applyFont="1" applyBorder="1" applyAlignment="1">
      <alignment horizontal="center" vertical="center" wrapText="1"/>
    </xf>
    <xf numFmtId="178" fontId="12" fillId="0" borderId="1" xfId="0" applyFont="1" applyBorder="1" applyAlignment="1">
      <alignment horizontal="left" vertical="center" wrapText="1"/>
    </xf>
    <xf numFmtId="180" fontId="12" fillId="0" borderId="1" xfId="0" applyNumberFormat="1" applyFont="1" applyBorder="1" applyAlignment="1">
      <alignment horizontal="right" vertical="center" wrapText="1"/>
    </xf>
    <xf numFmtId="178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40" fontId="7" fillId="0" borderId="4" xfId="0" applyNumberFormat="1" applyFont="1" applyBorder="1" applyAlignment="1">
      <alignment horizontal="right" vertical="center" wrapText="1"/>
    </xf>
    <xf numFmtId="38" fontId="12" fillId="0" borderId="1" xfId="0" applyNumberFormat="1" applyFont="1" applyBorder="1" applyAlignment="1">
      <alignment horizontal="left" vertical="center" wrapText="1"/>
    </xf>
    <xf numFmtId="38" fontId="12" fillId="0" borderId="1" xfId="0" applyNumberFormat="1" applyFont="1" applyBorder="1" applyAlignment="1">
      <alignment horizontal="right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8" fontId="5" fillId="5" borderId="1" xfId="0" applyFont="1" applyFill="1" applyBorder="1" applyAlignment="1">
      <alignment horizontal="center" vertical="center" wrapText="1"/>
    </xf>
    <xf numFmtId="38" fontId="5" fillId="5" borderId="1" xfId="0" applyNumberFormat="1" applyFont="1" applyFill="1" applyBorder="1" applyAlignment="1">
      <alignment horizontal="center" vertical="center" wrapText="1"/>
    </xf>
    <xf numFmtId="176" fontId="5" fillId="5" borderId="1" xfId="0" applyNumberFormat="1" applyFont="1" applyFill="1" applyBorder="1" applyAlignment="1">
      <alignment horizontal="center" vertical="center" wrapText="1"/>
    </xf>
    <xf numFmtId="40" fontId="5" fillId="5" borderId="1" xfId="0" applyNumberFormat="1" applyFont="1" applyFill="1" applyBorder="1" applyAlignment="1">
      <alignment horizontal="right" vertical="center" wrapText="1"/>
    </xf>
    <xf numFmtId="177" fontId="5" fillId="5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Border="1" applyAlignment="1">
      <alignment horizontal="right" vertical="center" wrapText="1"/>
    </xf>
    <xf numFmtId="181" fontId="0" fillId="0" borderId="0" xfId="0" applyNumberFormat="1">
      <alignment vertical="center"/>
    </xf>
    <xf numFmtId="178" fontId="0" fillId="0" borderId="0" xfId="0">
      <alignment vertical="center"/>
    </xf>
    <xf numFmtId="178" fontId="9" fillId="4" borderId="1" xfId="0" applyFont="1" applyFill="1" applyBorder="1" applyAlignment="1">
      <alignment horizontal="center" vertical="center" wrapText="1"/>
    </xf>
    <xf numFmtId="40" fontId="7" fillId="0" borderId="1" xfId="0" applyNumberFormat="1" applyFont="1" applyBorder="1" applyAlignment="1">
      <alignment horizontal="right" vertical="center" wrapText="1"/>
    </xf>
    <xf numFmtId="178" fontId="7" fillId="0" borderId="1" xfId="2" applyFont="1" applyBorder="1" applyAlignment="1">
      <alignment horizontal="center" vertical="center" wrapText="1"/>
    </xf>
    <xf numFmtId="182" fontId="14" fillId="0" borderId="1" xfId="0" applyNumberFormat="1" applyFont="1" applyBorder="1" applyAlignment="1">
      <alignment horizontal="center" vertical="center" wrapText="1"/>
    </xf>
    <xf numFmtId="1" fontId="0" fillId="0" borderId="0" xfId="0" applyNumberFormat="1">
      <alignment vertical="center"/>
    </xf>
    <xf numFmtId="43" fontId="0" fillId="0" borderId="0" xfId="5" applyFont="1">
      <alignment vertical="center"/>
    </xf>
    <xf numFmtId="178" fontId="14" fillId="0" borderId="1" xfId="0" applyFont="1" applyBorder="1" applyAlignment="1">
      <alignment horizontal="center" vertical="center" wrapText="1"/>
    </xf>
    <xf numFmtId="40" fontId="0" fillId="0" borderId="0" xfId="0" applyNumberFormat="1">
      <alignment vertical="center"/>
    </xf>
    <xf numFmtId="183" fontId="0" fillId="0" borderId="0" xfId="5" applyNumberFormat="1" applyFont="1">
      <alignment vertical="center"/>
    </xf>
    <xf numFmtId="184" fontId="0" fillId="0" borderId="0" xfId="0" applyNumberFormat="1">
      <alignment vertical="center"/>
    </xf>
    <xf numFmtId="1" fontId="0" fillId="0" borderId="1" xfId="0" applyNumberFormat="1" applyBorder="1">
      <alignment vertical="center"/>
    </xf>
    <xf numFmtId="178" fontId="0" fillId="0" borderId="1" xfId="0" applyBorder="1">
      <alignment vertical="center"/>
    </xf>
    <xf numFmtId="1" fontId="0" fillId="0" borderId="7" xfId="0" applyNumberFormat="1" applyFill="1" applyBorder="1">
      <alignment vertical="center"/>
    </xf>
    <xf numFmtId="1" fontId="0" fillId="0" borderId="8" xfId="0" applyNumberFormat="1" applyFill="1" applyBorder="1">
      <alignment vertical="center"/>
    </xf>
    <xf numFmtId="185" fontId="0" fillId="0" borderId="1" xfId="6" applyNumberFormat="1" applyFont="1" applyBorder="1">
      <alignment vertical="center"/>
    </xf>
    <xf numFmtId="185" fontId="15" fillId="0" borderId="0" xfId="6" applyNumberFormat="1" applyFont="1">
      <alignment vertical="center"/>
    </xf>
    <xf numFmtId="185" fontId="15" fillId="0" borderId="1" xfId="6" applyNumberFormat="1" applyFont="1" applyBorder="1">
      <alignment vertical="center"/>
    </xf>
    <xf numFmtId="185" fontId="0" fillId="0" borderId="0" xfId="6" applyNumberFormat="1" applyFont="1">
      <alignment vertical="center"/>
    </xf>
    <xf numFmtId="178" fontId="4" fillId="2" borderId="1" xfId="0" applyFont="1" applyFill="1" applyBorder="1" applyAlignment="1">
      <alignment horizontal="left" vertical="center" wrapText="1"/>
    </xf>
    <xf numFmtId="178" fontId="5" fillId="3" borderId="5" xfId="0" applyFont="1" applyFill="1" applyBorder="1" applyAlignment="1">
      <alignment horizontal="center" vertical="center" wrapText="1"/>
    </xf>
    <xf numFmtId="178" fontId="5" fillId="3" borderId="4" xfId="0" applyFont="1" applyFill="1" applyBorder="1" applyAlignment="1">
      <alignment horizontal="center" vertical="center" wrapText="1"/>
    </xf>
    <xf numFmtId="178" fontId="5" fillId="3" borderId="6" xfId="0" applyFont="1" applyFill="1" applyBorder="1" applyAlignment="1">
      <alignment horizontal="center" vertical="center" wrapText="1"/>
    </xf>
    <xf numFmtId="178" fontId="4" fillId="2" borderId="5" xfId="0" applyFont="1" applyFill="1" applyBorder="1" applyAlignment="1">
      <alignment horizontal="left" vertical="center" wrapText="1"/>
    </xf>
    <xf numFmtId="178" fontId="4" fillId="2" borderId="4" xfId="0" applyFont="1" applyFill="1" applyBorder="1" applyAlignment="1">
      <alignment horizontal="left" vertical="center" wrapText="1"/>
    </xf>
    <xf numFmtId="178" fontId="4" fillId="2" borderId="6" xfId="0" applyFont="1" applyFill="1" applyBorder="1" applyAlignment="1">
      <alignment horizontal="left" vertical="center" wrapText="1"/>
    </xf>
    <xf numFmtId="178" fontId="7" fillId="0" borderId="2" xfId="2" applyFont="1" applyBorder="1" applyAlignment="1">
      <alignment horizontal="center" vertical="center" wrapText="1"/>
    </xf>
    <xf numFmtId="178" fontId="7" fillId="0" borderId="7" xfId="2" applyFont="1" applyBorder="1" applyAlignment="1">
      <alignment horizontal="center" vertical="center" wrapText="1"/>
    </xf>
    <xf numFmtId="178" fontId="7" fillId="0" borderId="3" xfId="2" applyFont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center" vertical="center" wrapText="1"/>
    </xf>
    <xf numFmtId="178" fontId="5" fillId="3" borderId="1" xfId="0" applyFont="1" applyFill="1" applyBorder="1" applyAlignment="1">
      <alignment horizontal="center" vertical="center" wrapText="1"/>
    </xf>
    <xf numFmtId="183" fontId="0" fillId="0" borderId="1" xfId="5" applyNumberFormat="1" applyFont="1" applyBorder="1" applyAlignment="1">
      <alignment horizontal="center" vertical="center"/>
    </xf>
  </cellXfs>
  <cellStyles count="7">
    <cellStyle name="Normal_Sheet1" xfId="3"/>
    <cellStyle name="百分比" xfId="1" builtinId="5"/>
    <cellStyle name="常规" xfId="0" builtinId="0"/>
    <cellStyle name="常规 2" xfId="2"/>
    <cellStyle name="常规 3" xfId="4"/>
    <cellStyle name="货币" xfId="6" builtinId="4"/>
    <cellStyle name="千位分隔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topLeftCell="A22" zoomScale="70" zoomScaleNormal="70" workbookViewId="0">
      <selection activeCell="G13" sqref="G13"/>
    </sheetView>
  </sheetViews>
  <sheetFormatPr defaultRowHeight="13.5" x14ac:dyDescent="0.15"/>
  <cols>
    <col min="1" max="1" width="13.125" customWidth="1"/>
    <col min="2" max="2" width="31.125" customWidth="1"/>
    <col min="3" max="4" width="17.25" bestFit="1" customWidth="1"/>
    <col min="5" max="5" width="11.375" bestFit="1" customWidth="1"/>
    <col min="7" max="7" width="16.375" bestFit="1" customWidth="1"/>
    <col min="8" max="8" width="71.125" customWidth="1"/>
    <col min="9" max="9" width="15" bestFit="1" customWidth="1"/>
    <col min="10" max="11" width="12.75" bestFit="1" customWidth="1"/>
  </cols>
  <sheetData>
    <row r="1" spans="1:8" ht="22.5" x14ac:dyDescent="0.15">
      <c r="A1" s="54" t="s">
        <v>38</v>
      </c>
      <c r="B1" s="54"/>
      <c r="C1" s="54"/>
      <c r="D1" s="54"/>
      <c r="E1" s="54"/>
      <c r="F1" s="54"/>
      <c r="G1" s="54"/>
      <c r="H1" s="54"/>
    </row>
    <row r="2" spans="1:8" ht="15" x14ac:dyDescent="0.15">
      <c r="A2" s="18" t="s">
        <v>26</v>
      </c>
      <c r="B2" s="18" t="s">
        <v>0</v>
      </c>
      <c r="C2" s="19" t="s">
        <v>1</v>
      </c>
      <c r="D2" s="18" t="s">
        <v>2</v>
      </c>
      <c r="E2" s="20" t="s">
        <v>3</v>
      </c>
      <c r="F2" s="20" t="s">
        <v>4</v>
      </c>
      <c r="G2" s="21" t="s">
        <v>5</v>
      </c>
      <c r="H2" s="22" t="s">
        <v>6</v>
      </c>
    </row>
    <row r="3" spans="1:8" ht="21" x14ac:dyDescent="0.15">
      <c r="A3" s="44" t="s">
        <v>7</v>
      </c>
      <c r="B3" s="44"/>
      <c r="C3" s="44"/>
      <c r="D3" s="44"/>
      <c r="E3" s="44"/>
      <c r="F3" s="44"/>
      <c r="G3" s="44"/>
      <c r="H3" s="44"/>
    </row>
    <row r="4" spans="1:8" ht="15" x14ac:dyDescent="0.15">
      <c r="A4" s="55" t="s">
        <v>8</v>
      </c>
      <c r="B4" s="55"/>
      <c r="C4" s="55"/>
      <c r="D4" s="55"/>
      <c r="E4" s="55"/>
      <c r="F4" s="55"/>
      <c r="G4" s="55"/>
      <c r="H4" s="55"/>
    </row>
    <row r="5" spans="1:8" ht="16.5" x14ac:dyDescent="0.15">
      <c r="A5" s="51" t="s">
        <v>32</v>
      </c>
      <c r="B5" s="2" t="s">
        <v>29</v>
      </c>
      <c r="C5" s="3">
        <v>150</v>
      </c>
      <c r="D5" s="4" t="s">
        <v>13</v>
      </c>
      <c r="E5" s="5">
        <v>1</v>
      </c>
      <c r="F5" s="5">
        <v>30</v>
      </c>
      <c r="G5" s="6">
        <f t="shared" ref="G5:G10" si="0">F5*E5*C5</f>
        <v>4500</v>
      </c>
      <c r="H5" s="7" t="s">
        <v>31</v>
      </c>
    </row>
    <row r="6" spans="1:8" ht="16.5" x14ac:dyDescent="0.15">
      <c r="A6" s="52"/>
      <c r="B6" s="2" t="s">
        <v>27</v>
      </c>
      <c r="C6" s="3">
        <v>630</v>
      </c>
      <c r="D6" s="4" t="s">
        <v>37</v>
      </c>
      <c r="E6" s="5">
        <v>20</v>
      </c>
      <c r="F6" s="5">
        <v>1</v>
      </c>
      <c r="G6" s="6">
        <f t="shared" si="0"/>
        <v>12600</v>
      </c>
      <c r="H6" s="7" t="s">
        <v>28</v>
      </c>
    </row>
    <row r="7" spans="1:8" ht="16.5" x14ac:dyDescent="0.15">
      <c r="A7" s="53"/>
      <c r="B7" s="2" t="s">
        <v>9</v>
      </c>
      <c r="C7" s="3">
        <v>2000</v>
      </c>
      <c r="D7" s="4" t="s">
        <v>10</v>
      </c>
      <c r="E7" s="5">
        <v>1</v>
      </c>
      <c r="F7" s="5">
        <v>1</v>
      </c>
      <c r="G7" s="6">
        <f t="shared" si="0"/>
        <v>2000</v>
      </c>
      <c r="H7" s="7" t="s">
        <v>11</v>
      </c>
    </row>
    <row r="8" spans="1:8" ht="16.5" x14ac:dyDescent="0.15">
      <c r="A8" s="51" t="s">
        <v>33</v>
      </c>
      <c r="B8" s="2" t="s">
        <v>12</v>
      </c>
      <c r="C8" s="3">
        <v>90</v>
      </c>
      <c r="D8" s="4" t="s">
        <v>13</v>
      </c>
      <c r="E8" s="5">
        <v>30</v>
      </c>
      <c r="F8" s="5">
        <v>12</v>
      </c>
      <c r="G8" s="6">
        <f t="shared" si="0"/>
        <v>32400</v>
      </c>
      <c r="H8" s="7" t="s">
        <v>30</v>
      </c>
    </row>
    <row r="9" spans="1:8" ht="15" customHeight="1" x14ac:dyDescent="0.15">
      <c r="A9" s="53"/>
      <c r="B9" s="2" t="s">
        <v>14</v>
      </c>
      <c r="C9" s="3">
        <v>90</v>
      </c>
      <c r="D9" s="4" t="s">
        <v>13</v>
      </c>
      <c r="E9" s="5">
        <v>176</v>
      </c>
      <c r="F9" s="5">
        <v>12</v>
      </c>
      <c r="G9" s="6">
        <f t="shared" si="0"/>
        <v>190080</v>
      </c>
      <c r="H9" s="7" t="s">
        <v>36</v>
      </c>
    </row>
    <row r="10" spans="1:8" ht="49.5" x14ac:dyDescent="0.15">
      <c r="A10" s="1" t="s">
        <v>34</v>
      </c>
      <c r="B10" s="2" t="s">
        <v>15</v>
      </c>
      <c r="C10" s="3">
        <v>126</v>
      </c>
      <c r="D10" s="4" t="s">
        <v>13</v>
      </c>
      <c r="E10" s="5">
        <f>8*8</f>
        <v>64</v>
      </c>
      <c r="F10" s="5">
        <v>12</v>
      </c>
      <c r="G10" s="6">
        <f t="shared" si="0"/>
        <v>96768</v>
      </c>
      <c r="H10" s="7" t="s">
        <v>35</v>
      </c>
    </row>
    <row r="11" spans="1:8" ht="15" x14ac:dyDescent="0.15">
      <c r="A11" s="45" t="s">
        <v>17</v>
      </c>
      <c r="B11" s="46"/>
      <c r="C11" s="46"/>
      <c r="D11" s="46"/>
      <c r="E11" s="46"/>
      <c r="F11" s="46"/>
      <c r="G11" s="46"/>
      <c r="H11" s="47"/>
    </row>
    <row r="12" spans="1:8" ht="16.5" x14ac:dyDescent="0.15">
      <c r="A12" s="1" t="s">
        <v>18</v>
      </c>
      <c r="B12" s="2" t="s">
        <v>19</v>
      </c>
      <c r="C12" s="8">
        <v>6.7686999999999997E-2</v>
      </c>
      <c r="D12" s="4"/>
      <c r="E12" s="5"/>
      <c r="F12" s="5"/>
      <c r="G12" s="6">
        <f>(G5+G6+G7+G8+G9+G10)*C12</f>
        <v>22901.761075999999</v>
      </c>
      <c r="H12" s="2"/>
    </row>
    <row r="13" spans="1:8" ht="16.5" x14ac:dyDescent="0.15">
      <c r="A13" s="1" t="s">
        <v>20</v>
      </c>
      <c r="B13" s="2"/>
      <c r="C13" s="3"/>
      <c r="D13" s="4"/>
      <c r="E13" s="5"/>
      <c r="F13" s="5"/>
      <c r="G13" s="23">
        <f>G5+G6+G7+G8+G9+G10+G12</f>
        <v>361249.761076</v>
      </c>
      <c r="H13" s="2"/>
    </row>
    <row r="14" spans="1:8" s="25" customFormat="1" ht="21" x14ac:dyDescent="0.15">
      <c r="A14" s="44" t="s">
        <v>68</v>
      </c>
      <c r="B14" s="44"/>
      <c r="C14" s="44"/>
      <c r="D14" s="44"/>
      <c r="E14" s="44"/>
      <c r="F14" s="44"/>
      <c r="G14" s="44"/>
      <c r="H14" s="44"/>
    </row>
    <row r="15" spans="1:8" s="25" customFormat="1" ht="15" x14ac:dyDescent="0.15">
      <c r="A15" s="45" t="s">
        <v>68</v>
      </c>
      <c r="B15" s="46"/>
      <c r="C15" s="46"/>
      <c r="D15" s="46"/>
      <c r="E15" s="46"/>
      <c r="F15" s="46"/>
      <c r="G15" s="46"/>
      <c r="H15" s="47"/>
    </row>
    <row r="16" spans="1:8" s="25" customFormat="1" ht="33" x14ac:dyDescent="0.15">
      <c r="A16" s="51" t="s">
        <v>62</v>
      </c>
      <c r="B16" s="2" t="s">
        <v>46</v>
      </c>
      <c r="C16" s="3">
        <v>2400</v>
      </c>
      <c r="D16" s="26" t="s">
        <v>55</v>
      </c>
      <c r="E16" s="32">
        <v>0</v>
      </c>
      <c r="F16" s="32">
        <v>0</v>
      </c>
      <c r="G16" s="27">
        <f>C16*E16*F16</f>
        <v>0</v>
      </c>
      <c r="H16" s="7" t="s">
        <v>104</v>
      </c>
    </row>
    <row r="17" spans="1:8" s="25" customFormat="1" ht="17.25" x14ac:dyDescent="0.15">
      <c r="A17" s="52"/>
      <c r="B17" s="2" t="s">
        <v>47</v>
      </c>
      <c r="C17" s="3">
        <v>240</v>
      </c>
      <c r="D17" s="26" t="s">
        <v>56</v>
      </c>
      <c r="E17" s="32">
        <v>0</v>
      </c>
      <c r="F17" s="32">
        <v>0</v>
      </c>
      <c r="G17" s="27">
        <f t="shared" ref="G17:G25" si="1">C17*E17*F17</f>
        <v>0</v>
      </c>
      <c r="H17" s="7"/>
    </row>
    <row r="18" spans="1:8" s="25" customFormat="1" ht="17.25" x14ac:dyDescent="0.15">
      <c r="A18" s="52"/>
      <c r="B18" s="2" t="s">
        <v>48</v>
      </c>
      <c r="C18" s="3">
        <v>30</v>
      </c>
      <c r="D18" s="26" t="s">
        <v>57</v>
      </c>
      <c r="E18" s="32">
        <v>12</v>
      </c>
      <c r="F18" s="32">
        <v>1</v>
      </c>
      <c r="G18" s="27">
        <f t="shared" si="1"/>
        <v>360</v>
      </c>
      <c r="H18" s="7" t="s">
        <v>105</v>
      </c>
    </row>
    <row r="19" spans="1:8" s="25" customFormat="1" ht="17.25" x14ac:dyDescent="0.15">
      <c r="A19" s="53"/>
      <c r="B19" s="2" t="s">
        <v>49</v>
      </c>
      <c r="C19" s="3">
        <v>0.1</v>
      </c>
      <c r="D19" s="26" t="s">
        <v>58</v>
      </c>
      <c r="E19" s="32">
        <v>0</v>
      </c>
      <c r="F19" s="32">
        <v>0</v>
      </c>
      <c r="G19" s="27">
        <f t="shared" si="1"/>
        <v>0</v>
      </c>
      <c r="H19" s="7"/>
    </row>
    <row r="20" spans="1:8" s="25" customFormat="1" ht="82.5" x14ac:dyDescent="0.15">
      <c r="A20" s="51" t="s">
        <v>63</v>
      </c>
      <c r="B20" s="2" t="s">
        <v>50</v>
      </c>
      <c r="C20" s="3">
        <v>5000</v>
      </c>
      <c r="D20" s="26" t="s">
        <v>16</v>
      </c>
      <c r="E20" s="32">
        <v>12</v>
      </c>
      <c r="F20" s="5">
        <v>1</v>
      </c>
      <c r="G20" s="27">
        <f t="shared" si="1"/>
        <v>60000</v>
      </c>
      <c r="H20" s="7" t="s">
        <v>106</v>
      </c>
    </row>
    <row r="21" spans="1:8" s="25" customFormat="1" ht="16.5" customHeight="1" x14ac:dyDescent="0.15">
      <c r="A21" s="52"/>
      <c r="B21" s="2" t="s">
        <v>51</v>
      </c>
      <c r="C21" s="3">
        <v>20000</v>
      </c>
      <c r="D21" s="26" t="s">
        <v>59</v>
      </c>
      <c r="E21" s="32">
        <v>1</v>
      </c>
      <c r="F21" s="5">
        <v>1</v>
      </c>
      <c r="G21" s="27">
        <f t="shared" si="1"/>
        <v>20000</v>
      </c>
      <c r="H21" s="7" t="s">
        <v>64</v>
      </c>
    </row>
    <row r="22" spans="1:8" s="25" customFormat="1" ht="16.5" customHeight="1" x14ac:dyDescent="0.15">
      <c r="A22" s="52"/>
      <c r="B22" s="2" t="s">
        <v>52</v>
      </c>
      <c r="C22" s="3">
        <v>1400</v>
      </c>
      <c r="D22" s="26" t="s">
        <v>60</v>
      </c>
      <c r="E22" s="32">
        <v>0</v>
      </c>
      <c r="F22" s="5">
        <v>1</v>
      </c>
      <c r="G22" s="27">
        <f t="shared" si="1"/>
        <v>0</v>
      </c>
      <c r="H22" s="7" t="s">
        <v>65</v>
      </c>
    </row>
    <row r="23" spans="1:8" s="25" customFormat="1" ht="16.5" customHeight="1" x14ac:dyDescent="0.15">
      <c r="A23" s="52"/>
      <c r="B23" s="2" t="s">
        <v>53</v>
      </c>
      <c r="C23" s="3">
        <v>1400</v>
      </c>
      <c r="D23" s="26" t="s">
        <v>60</v>
      </c>
      <c r="E23" s="32">
        <v>0</v>
      </c>
      <c r="F23" s="5">
        <v>1</v>
      </c>
      <c r="G23" s="27">
        <f t="shared" si="1"/>
        <v>0</v>
      </c>
      <c r="H23" s="7" t="s">
        <v>65</v>
      </c>
    </row>
    <row r="24" spans="1:8" s="25" customFormat="1" ht="99" x14ac:dyDescent="0.15">
      <c r="A24" s="53"/>
      <c r="B24" s="2" t="s">
        <v>54</v>
      </c>
      <c r="C24" s="3">
        <v>9000</v>
      </c>
      <c r="D24" s="26" t="s">
        <v>61</v>
      </c>
      <c r="E24" s="32">
        <v>12</v>
      </c>
      <c r="F24" s="5">
        <v>1</v>
      </c>
      <c r="G24" s="27">
        <f t="shared" si="1"/>
        <v>108000</v>
      </c>
      <c r="H24" s="7" t="s">
        <v>66</v>
      </c>
    </row>
    <row r="25" spans="1:8" s="25" customFormat="1" ht="17.25" x14ac:dyDescent="0.15">
      <c r="A25" s="32" t="s">
        <v>39</v>
      </c>
      <c r="B25" s="2" t="s">
        <v>108</v>
      </c>
      <c r="C25" s="29">
        <v>1400</v>
      </c>
      <c r="D25" s="32" t="s">
        <v>67</v>
      </c>
      <c r="E25" s="5">
        <v>0</v>
      </c>
      <c r="F25" s="5">
        <v>0</v>
      </c>
      <c r="G25" s="23">
        <f t="shared" si="1"/>
        <v>0</v>
      </c>
      <c r="H25" s="32" t="s">
        <v>107</v>
      </c>
    </row>
    <row r="26" spans="1:8" s="25" customFormat="1" ht="15" x14ac:dyDescent="0.15">
      <c r="A26" s="45" t="s">
        <v>17</v>
      </c>
      <c r="B26" s="46"/>
      <c r="C26" s="46"/>
      <c r="D26" s="46"/>
      <c r="E26" s="46"/>
      <c r="F26" s="46"/>
      <c r="G26" s="46"/>
      <c r="H26" s="47"/>
    </row>
    <row r="27" spans="1:8" s="25" customFormat="1" ht="17.25" x14ac:dyDescent="0.15">
      <c r="A27" s="32" t="s">
        <v>69</v>
      </c>
      <c r="B27" s="2" t="s">
        <v>70</v>
      </c>
      <c r="C27" s="8">
        <v>0.06</v>
      </c>
      <c r="D27" s="26"/>
      <c r="E27" s="5"/>
      <c r="F27" s="5"/>
      <c r="G27" s="23">
        <f>SUM(G21:G25)*C27</f>
        <v>7680</v>
      </c>
      <c r="H27" s="2"/>
    </row>
    <row r="28" spans="1:8" s="25" customFormat="1" ht="16.5" x14ac:dyDescent="0.15">
      <c r="A28" s="28" t="s">
        <v>20</v>
      </c>
      <c r="B28" s="2"/>
      <c r="C28" s="3"/>
      <c r="D28" s="26"/>
      <c r="E28" s="5"/>
      <c r="F28" s="5"/>
      <c r="G28" s="23">
        <f>G20+G21+G22+G23+G24+G25+G27+G19+G18+G17+G16</f>
        <v>196040</v>
      </c>
      <c r="H28" s="2"/>
    </row>
    <row r="29" spans="1:8" s="25" customFormat="1" ht="21" x14ac:dyDescent="0.15">
      <c r="A29" s="44" t="s">
        <v>71</v>
      </c>
      <c r="B29" s="44"/>
      <c r="C29" s="44"/>
      <c r="D29" s="44"/>
      <c r="E29" s="44"/>
      <c r="F29" s="44"/>
      <c r="G29" s="44"/>
      <c r="H29" s="44"/>
    </row>
    <row r="30" spans="1:8" s="25" customFormat="1" ht="15" x14ac:dyDescent="0.15">
      <c r="A30" s="45" t="s">
        <v>76</v>
      </c>
      <c r="B30" s="46"/>
      <c r="C30" s="46"/>
      <c r="D30" s="46"/>
      <c r="E30" s="46"/>
      <c r="F30" s="46"/>
      <c r="G30" s="46"/>
      <c r="H30" s="47"/>
    </row>
    <row r="31" spans="1:8" s="2" customFormat="1" ht="148.5" x14ac:dyDescent="0.15">
      <c r="A31" s="2" t="s">
        <v>74</v>
      </c>
      <c r="B31" s="2" t="s">
        <v>73</v>
      </c>
      <c r="C31" s="3">
        <v>11000</v>
      </c>
      <c r="D31" s="26" t="s">
        <v>75</v>
      </c>
      <c r="E31" s="32">
        <v>1</v>
      </c>
      <c r="F31" s="5">
        <v>12</v>
      </c>
      <c r="G31" s="2">
        <f>C31*F31*E31</f>
        <v>132000</v>
      </c>
      <c r="H31" s="2" t="s">
        <v>72</v>
      </c>
    </row>
    <row r="32" spans="1:8" s="25" customFormat="1" ht="15" x14ac:dyDescent="0.15">
      <c r="A32" s="45" t="s">
        <v>17</v>
      </c>
      <c r="B32" s="46"/>
      <c r="C32" s="46"/>
      <c r="D32" s="46"/>
      <c r="E32" s="46"/>
      <c r="F32" s="46"/>
      <c r="G32" s="46"/>
      <c r="H32" s="47"/>
    </row>
    <row r="33" spans="1:9" s="25" customFormat="1" ht="17.25" x14ac:dyDescent="0.15">
      <c r="A33" s="32" t="s">
        <v>69</v>
      </c>
      <c r="B33" s="2" t="s">
        <v>70</v>
      </c>
      <c r="C33" s="8">
        <v>0.06</v>
      </c>
      <c r="D33" s="26"/>
      <c r="E33" s="5"/>
      <c r="F33" s="5"/>
      <c r="G33" s="23">
        <f>G31*C33</f>
        <v>7920</v>
      </c>
      <c r="H33" s="2"/>
    </row>
    <row r="34" spans="1:9" s="25" customFormat="1" ht="16.5" x14ac:dyDescent="0.15">
      <c r="A34" s="28" t="s">
        <v>20</v>
      </c>
      <c r="B34" s="2"/>
      <c r="C34" s="3"/>
      <c r="D34" s="26"/>
      <c r="E34" s="5"/>
      <c r="F34" s="5"/>
      <c r="G34" s="23">
        <f>G31+G33</f>
        <v>139920</v>
      </c>
      <c r="H34" s="2"/>
    </row>
    <row r="35" spans="1:9" ht="21" customHeight="1" x14ac:dyDescent="0.15">
      <c r="A35" s="48" t="s">
        <v>21</v>
      </c>
      <c r="B35" s="49"/>
      <c r="C35" s="49"/>
      <c r="D35" s="49"/>
      <c r="E35" s="49"/>
      <c r="F35" s="49"/>
      <c r="G35" s="49"/>
      <c r="H35" s="50"/>
    </row>
    <row r="36" spans="1:9" ht="33" x14ac:dyDescent="0.15">
      <c r="A36" s="1" t="s">
        <v>22</v>
      </c>
      <c r="B36" s="2" t="s">
        <v>41</v>
      </c>
      <c r="C36" s="3">
        <v>130</v>
      </c>
      <c r="D36" s="4" t="s">
        <v>23</v>
      </c>
      <c r="E36" s="5">
        <v>8500</v>
      </c>
      <c r="F36" s="5">
        <v>1</v>
      </c>
      <c r="G36" s="6">
        <f>C36*E36*F36</f>
        <v>1105000</v>
      </c>
      <c r="H36" s="2" t="s">
        <v>45</v>
      </c>
    </row>
    <row r="37" spans="1:9" s="25" customFormat="1" ht="16.5" x14ac:dyDescent="0.15">
      <c r="A37" s="28"/>
      <c r="B37" s="2" t="s">
        <v>102</v>
      </c>
      <c r="C37" s="3">
        <v>49.3</v>
      </c>
      <c r="D37" s="26" t="s">
        <v>103</v>
      </c>
      <c r="E37" s="5">
        <v>300</v>
      </c>
      <c r="F37" s="5">
        <v>1</v>
      </c>
      <c r="G37" s="27">
        <f>C37*E37*F37</f>
        <v>14790</v>
      </c>
      <c r="H37" s="2" t="s">
        <v>102</v>
      </c>
    </row>
    <row r="38" spans="1:9" s="25" customFormat="1" ht="16.5" x14ac:dyDescent="0.15">
      <c r="A38" s="28"/>
      <c r="B38" s="2" t="s">
        <v>40</v>
      </c>
      <c r="C38" s="3">
        <v>48</v>
      </c>
      <c r="D38" s="26" t="s">
        <v>42</v>
      </c>
      <c r="E38" s="5">
        <v>8000</v>
      </c>
      <c r="F38" s="5">
        <v>1</v>
      </c>
      <c r="G38" s="27">
        <f>C38*E38*F38</f>
        <v>384000</v>
      </c>
      <c r="H38" s="2" t="s">
        <v>43</v>
      </c>
    </row>
    <row r="39" spans="1:9" ht="16.5" x14ac:dyDescent="0.15">
      <c r="A39" s="1" t="s">
        <v>24</v>
      </c>
      <c r="B39" s="2"/>
      <c r="C39" s="3"/>
      <c r="D39" s="4"/>
      <c r="E39" s="5"/>
      <c r="F39" s="5"/>
      <c r="G39" s="6">
        <f>G36+G38+G37</f>
        <v>1503790</v>
      </c>
      <c r="H39" s="2"/>
    </row>
    <row r="40" spans="1:9" ht="21" customHeight="1" x14ac:dyDescent="0.15">
      <c r="A40" s="48" t="s">
        <v>25</v>
      </c>
      <c r="B40" s="49"/>
      <c r="C40" s="49"/>
      <c r="D40" s="49"/>
      <c r="E40" s="49"/>
      <c r="F40" s="49"/>
      <c r="G40" s="49"/>
      <c r="H40" s="50"/>
    </row>
    <row r="41" spans="1:9" s="25" customFormat="1" ht="21" customHeight="1" x14ac:dyDescent="0.15">
      <c r="A41" s="9" t="s">
        <v>77</v>
      </c>
      <c r="B41" s="8">
        <v>0.1</v>
      </c>
      <c r="C41" s="11"/>
      <c r="D41" s="12"/>
      <c r="E41" s="13"/>
      <c r="F41" s="13"/>
      <c r="G41" s="27">
        <f>(B41/0.8328)*(G39+G34+G28+G13)</f>
        <v>264289.11636359274</v>
      </c>
      <c r="H41" s="15"/>
    </row>
    <row r="42" spans="1:9" ht="16.5" x14ac:dyDescent="0.15">
      <c r="A42" s="9" t="s">
        <v>78</v>
      </c>
      <c r="B42" s="8">
        <v>6.7199999999999996E-2</v>
      </c>
      <c r="C42" s="11"/>
      <c r="D42" s="12"/>
      <c r="E42" s="13"/>
      <c r="F42" s="13"/>
      <c r="G42" s="27">
        <f>(B42/0.8328)*(G39+G34+G28+G13)</f>
        <v>177602.28619633429</v>
      </c>
      <c r="H42" s="15"/>
      <c r="I42" s="33"/>
    </row>
    <row r="43" spans="1:9" ht="21" x14ac:dyDescent="0.15">
      <c r="A43" s="48" t="s">
        <v>20</v>
      </c>
      <c r="B43" s="49"/>
      <c r="C43" s="49"/>
      <c r="D43" s="49"/>
      <c r="E43" s="49"/>
      <c r="F43" s="49"/>
      <c r="G43" s="49"/>
      <c r="H43" s="50"/>
      <c r="I43" s="25"/>
    </row>
    <row r="44" spans="1:9" ht="16.5" x14ac:dyDescent="0.15">
      <c r="A44" s="12"/>
      <c r="B44" s="10"/>
      <c r="C44" s="16"/>
      <c r="D44" s="12"/>
      <c r="E44" s="13"/>
      <c r="F44" s="17"/>
      <c r="G44" s="14">
        <f>G42+G41+G39+G34+G28+G13</f>
        <v>2642891.1636359268</v>
      </c>
      <c r="H44" s="15" t="s">
        <v>44</v>
      </c>
      <c r="I44">
        <f>G44-G42-G41</f>
        <v>2200999.7610759996</v>
      </c>
    </row>
    <row r="46" spans="1:9" x14ac:dyDescent="0.15">
      <c r="B46" s="30"/>
    </row>
    <row r="47" spans="1:9" x14ac:dyDescent="0.15">
      <c r="B47" s="30"/>
      <c r="H47" s="24"/>
    </row>
    <row r="48" spans="1:9" x14ac:dyDescent="0.15">
      <c r="B48" s="30"/>
    </row>
    <row r="49" spans="1:7" hidden="1" x14ac:dyDescent="0.15">
      <c r="A49" s="56" t="s">
        <v>87</v>
      </c>
      <c r="B49" s="36" t="s">
        <v>91</v>
      </c>
      <c r="C49" s="40">
        <v>12</v>
      </c>
    </row>
    <row r="50" spans="1:7" hidden="1" x14ac:dyDescent="0.15">
      <c r="A50" s="56"/>
      <c r="B50" s="36" t="s">
        <v>79</v>
      </c>
      <c r="C50" s="40">
        <f>C49*(C36+24)</f>
        <v>1848</v>
      </c>
      <c r="D50" s="31"/>
      <c r="G50" s="24"/>
    </row>
    <row r="51" spans="1:7" hidden="1" x14ac:dyDescent="0.15">
      <c r="A51" s="56"/>
      <c r="B51" s="37" t="s">
        <v>86</v>
      </c>
      <c r="C51" s="40">
        <f>(130+24)*D51</f>
        <v>92400</v>
      </c>
      <c r="D51" s="34">
        <f>50*C49</f>
        <v>600</v>
      </c>
    </row>
    <row r="52" spans="1:7" hidden="1" x14ac:dyDescent="0.15">
      <c r="A52" s="56"/>
      <c r="B52" s="36" t="s">
        <v>80</v>
      </c>
      <c r="C52" s="40">
        <f>G20+(G21/4)+G18+(C16*15)</f>
        <v>101360</v>
      </c>
      <c r="D52" s="34"/>
    </row>
    <row r="53" spans="1:7" hidden="1" x14ac:dyDescent="0.15">
      <c r="A53" s="56"/>
      <c r="B53" s="36" t="s">
        <v>81</v>
      </c>
      <c r="C53" s="40">
        <f>C31*12</f>
        <v>132000</v>
      </c>
      <c r="D53" s="34"/>
    </row>
    <row r="54" spans="1:7" hidden="1" x14ac:dyDescent="0.15">
      <c r="A54" s="56"/>
      <c r="B54" s="36" t="s">
        <v>83</v>
      </c>
      <c r="C54" s="40">
        <f>(G5+G6+G7)+(G8/4+G9/4+G10/4)</f>
        <v>98912</v>
      </c>
      <c r="D54" s="34"/>
    </row>
    <row r="55" spans="1:7" s="25" customFormat="1" hidden="1" x14ac:dyDescent="0.15">
      <c r="A55" s="56"/>
      <c r="B55" s="36" t="s">
        <v>97</v>
      </c>
      <c r="C55" s="40" t="e">
        <f>#REF!/4</f>
        <v>#REF!</v>
      </c>
      <c r="D55" s="34"/>
    </row>
    <row r="56" spans="1:7" hidden="1" x14ac:dyDescent="0.15">
      <c r="A56" s="56"/>
      <c r="B56" s="36" t="s">
        <v>85</v>
      </c>
      <c r="C56" s="40">
        <f>(C51+C52+C53+C54)*0.1</f>
        <v>42467.200000000004</v>
      </c>
      <c r="D56" s="34"/>
    </row>
    <row r="57" spans="1:7" hidden="1" x14ac:dyDescent="0.15">
      <c r="A57" s="37"/>
      <c r="B57" s="37"/>
      <c r="C57" s="40"/>
      <c r="D57" s="34"/>
    </row>
    <row r="58" spans="1:7" hidden="1" x14ac:dyDescent="0.15">
      <c r="A58" s="37"/>
      <c r="B58" s="36" t="s">
        <v>89</v>
      </c>
      <c r="C58" s="40" t="e">
        <f>SUM(C51:C56)</f>
        <v>#REF!</v>
      </c>
      <c r="D58" s="34"/>
    </row>
    <row r="59" spans="1:7" hidden="1" x14ac:dyDescent="0.15">
      <c r="A59" s="56" t="s">
        <v>90</v>
      </c>
      <c r="B59" s="38" t="s">
        <v>93</v>
      </c>
      <c r="C59" s="40">
        <f>(130+24)*D59</f>
        <v>278740</v>
      </c>
      <c r="D59" s="34">
        <f>80*15+50*12+10</f>
        <v>1810</v>
      </c>
    </row>
    <row r="60" spans="1:7" hidden="1" x14ac:dyDescent="0.15">
      <c r="A60" s="56"/>
      <c r="B60" s="38" t="s">
        <v>95</v>
      </c>
      <c r="C60" s="41">
        <f>C17*80+C16*80</f>
        <v>211200</v>
      </c>
      <c r="D60" s="34"/>
    </row>
    <row r="61" spans="1:7" hidden="1" x14ac:dyDescent="0.15">
      <c r="A61" s="56"/>
      <c r="B61" s="35" t="s">
        <v>83</v>
      </c>
      <c r="C61" s="41">
        <f>(G8/4+G9/4+G10/4)</f>
        <v>79812</v>
      </c>
      <c r="D61" s="34"/>
    </row>
    <row r="62" spans="1:7" hidden="1" x14ac:dyDescent="0.15">
      <c r="A62" s="56"/>
      <c r="B62" s="39" t="s">
        <v>97</v>
      </c>
      <c r="C62" s="41" t="e">
        <f>#REF!/4</f>
        <v>#REF!</v>
      </c>
      <c r="D62" s="34"/>
    </row>
    <row r="63" spans="1:7" hidden="1" x14ac:dyDescent="0.15">
      <c r="A63" s="56"/>
      <c r="B63" s="36" t="s">
        <v>85</v>
      </c>
      <c r="C63" s="42">
        <f>(C59+C60+C61)*0.1</f>
        <v>56975.200000000004</v>
      </c>
      <c r="D63" s="34"/>
    </row>
    <row r="64" spans="1:7" hidden="1" x14ac:dyDescent="0.15">
      <c r="A64" s="56"/>
      <c r="C64" s="41"/>
      <c r="D64" s="34"/>
    </row>
    <row r="65" spans="1:4" hidden="1" x14ac:dyDescent="0.15">
      <c r="A65" s="56"/>
      <c r="B65" s="39" t="s">
        <v>89</v>
      </c>
      <c r="C65" s="41" t="e">
        <f>C63+C62+C61+C60+C59</f>
        <v>#REF!</v>
      </c>
      <c r="D65" s="34"/>
    </row>
    <row r="66" spans="1:4" hidden="1" x14ac:dyDescent="0.15">
      <c r="C66" s="43"/>
      <c r="D66" s="34"/>
    </row>
    <row r="67" spans="1:4" hidden="1" x14ac:dyDescent="0.15">
      <c r="A67" s="56" t="s">
        <v>98</v>
      </c>
      <c r="B67" t="s">
        <v>92</v>
      </c>
      <c r="C67" s="40">
        <f>(130+24)*D67</f>
        <v>381920</v>
      </c>
      <c r="D67" s="34">
        <f>80*13+80*13+50*8</f>
        <v>2480</v>
      </c>
    </row>
    <row r="68" spans="1:4" hidden="1" x14ac:dyDescent="0.15">
      <c r="A68" s="56"/>
      <c r="B68" t="s">
        <v>94</v>
      </c>
      <c r="C68" s="43">
        <v>211200</v>
      </c>
      <c r="D68" s="34"/>
    </row>
    <row r="69" spans="1:4" hidden="1" x14ac:dyDescent="0.15">
      <c r="A69" s="56"/>
      <c r="B69" t="s">
        <v>82</v>
      </c>
      <c r="C69" s="43">
        <v>79812</v>
      </c>
      <c r="D69" s="34"/>
    </row>
    <row r="70" spans="1:4" hidden="1" x14ac:dyDescent="0.15">
      <c r="A70" s="56"/>
      <c r="B70" t="s">
        <v>96</v>
      </c>
      <c r="C70" s="43">
        <v>25584.449737499999</v>
      </c>
      <c r="D70" s="34"/>
    </row>
    <row r="71" spans="1:4" hidden="1" x14ac:dyDescent="0.15">
      <c r="A71" s="56"/>
      <c r="B71" t="s">
        <v>84</v>
      </c>
      <c r="C71" s="43">
        <v>43885.200000000004</v>
      </c>
      <c r="D71" s="34"/>
    </row>
    <row r="72" spans="1:4" hidden="1" x14ac:dyDescent="0.15">
      <c r="A72" s="56"/>
      <c r="C72" s="43"/>
      <c r="D72" s="34"/>
    </row>
    <row r="73" spans="1:4" hidden="1" x14ac:dyDescent="0.15">
      <c r="A73" s="56"/>
      <c r="B73" t="s">
        <v>88</v>
      </c>
      <c r="C73" s="43">
        <v>508321.6497375</v>
      </c>
      <c r="D73" s="34"/>
    </row>
    <row r="74" spans="1:4" hidden="1" x14ac:dyDescent="0.15">
      <c r="C74" s="43"/>
      <c r="D74" s="34"/>
    </row>
    <row r="75" spans="1:4" hidden="1" x14ac:dyDescent="0.15">
      <c r="A75" s="56" t="s">
        <v>99</v>
      </c>
      <c r="B75" s="30" t="s">
        <v>100</v>
      </c>
      <c r="C75" s="40">
        <f>(130+24)*D75</f>
        <v>478940</v>
      </c>
      <c r="D75" s="34">
        <f>90*12+80*13+80*8+50*7</f>
        <v>3110</v>
      </c>
    </row>
    <row r="76" spans="1:4" hidden="1" x14ac:dyDescent="0.15">
      <c r="A76" s="56"/>
      <c r="B76" s="30" t="s">
        <v>101</v>
      </c>
      <c r="C76" s="41">
        <f>C17*80+C16*90</f>
        <v>235200</v>
      </c>
    </row>
    <row r="77" spans="1:4" hidden="1" x14ac:dyDescent="0.15">
      <c r="A77" s="56"/>
      <c r="B77" s="35" t="s">
        <v>82</v>
      </c>
      <c r="C77" s="41">
        <f>(G8/4+G9/4+G10/4)</f>
        <v>79812</v>
      </c>
    </row>
    <row r="78" spans="1:4" hidden="1" x14ac:dyDescent="0.15">
      <c r="A78" s="56"/>
      <c r="B78" s="30" t="s">
        <v>96</v>
      </c>
      <c r="C78" s="41" t="e">
        <f>#REF!/4</f>
        <v>#REF!</v>
      </c>
    </row>
    <row r="79" spans="1:4" hidden="1" x14ac:dyDescent="0.15">
      <c r="A79" s="56"/>
      <c r="B79" s="30" t="s">
        <v>84</v>
      </c>
      <c r="C79" s="42">
        <f>(C75+C76+C77)*0.1</f>
        <v>79395.200000000012</v>
      </c>
    </row>
    <row r="80" spans="1:4" hidden="1" x14ac:dyDescent="0.15">
      <c r="A80" s="56"/>
      <c r="B80" s="25"/>
      <c r="C80" s="41"/>
    </row>
    <row r="81" spans="1:3" hidden="1" x14ac:dyDescent="0.15">
      <c r="A81" s="56"/>
      <c r="B81" s="30" t="s">
        <v>88</v>
      </c>
      <c r="C81" s="41" t="e">
        <f>C63+C62+C61+C60+C59</f>
        <v>#REF!</v>
      </c>
    </row>
    <row r="82" spans="1:3" hidden="1" x14ac:dyDescent="0.15">
      <c r="C82" s="43"/>
    </row>
    <row r="83" spans="1:3" hidden="1" x14ac:dyDescent="0.15">
      <c r="A83" t="s">
        <v>89</v>
      </c>
      <c r="C83" s="43" t="e">
        <f>C81+C73+C65+C58</f>
        <v>#REF!</v>
      </c>
    </row>
  </sheetData>
  <mergeCells count="21">
    <mergeCell ref="A49:A56"/>
    <mergeCell ref="A59:A65"/>
    <mergeCell ref="A67:A73"/>
    <mergeCell ref="A75:A81"/>
    <mergeCell ref="A43:H43"/>
    <mergeCell ref="A1:H1"/>
    <mergeCell ref="A3:H3"/>
    <mergeCell ref="A4:H4"/>
    <mergeCell ref="A11:H11"/>
    <mergeCell ref="A5:A7"/>
    <mergeCell ref="A8:A9"/>
    <mergeCell ref="A14:H14"/>
    <mergeCell ref="A16:A19"/>
    <mergeCell ref="A20:A24"/>
    <mergeCell ref="A26:H26"/>
    <mergeCell ref="A15:H15"/>
    <mergeCell ref="A29:H29"/>
    <mergeCell ref="A32:H32"/>
    <mergeCell ref="A30:H30"/>
    <mergeCell ref="A35:H35"/>
    <mergeCell ref="A40:H40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费用明细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客户部实习生王天驰</cp:lastModifiedBy>
  <dcterms:created xsi:type="dcterms:W3CDTF">2020-03-05T10:41:49Z</dcterms:created>
  <dcterms:modified xsi:type="dcterms:W3CDTF">2020-05-29T03:54:50Z</dcterms:modified>
</cp:coreProperties>
</file>